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下载的文件\9.18改2概算-闽清县县域充换电设施补短板试点项目\2-出版表格\"/>
    </mc:Choice>
  </mc:AlternateContent>
  <bookViews>
    <workbookView windowWidth="28800" windowHeight="12375" firstSheet="1" activeTab="1"/>
  </bookViews>
  <sheets>
    <sheet name="YSSTJO" sheetId="3" state="hidden" r:id="rId1"/>
    <sheet name="总概算表" sheetId="1" r:id="rId2"/>
    <sheet name="其他工程费 " sheetId="4" r:id="rId3"/>
  </sheets>
  <definedNames>
    <definedName name="_xlnm.Print_Area" localSheetId="1">总概算表!$A$1:$K$44</definedName>
    <definedName name="_xlnm.Print_Titles" localSheetId="1">总概算表!$1:$4</definedName>
    <definedName name="_xlnm.Print_Area" localSheetId="2">'其他工程费 '!$A$1:$C$20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<sst xmlns="http://schemas.openxmlformats.org/spreadsheetml/2006/main" count="174" uniqueCount="118">
  <si>
    <t>工程总概算表</t>
  </si>
  <si>
    <t>工程名称：闽清县县域充换电设施补短板试点项目</t>
  </si>
  <si>
    <t>序号</t>
  </si>
  <si>
    <t>工程费用或项目名称</t>
  </si>
  <si>
    <t>造价（万元）</t>
  </si>
  <si>
    <t>技术经济指标</t>
  </si>
  <si>
    <t>备注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</si>
  <si>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</si>
  <si>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</si>
  <si>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</si>
  <si>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</si>
  <si>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</si>
  <si>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</si>
  <si>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</si>
  <si>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指  标
（元/单位）</t>
  </si>
  <si>
    <t>一</t>
  </si>
  <si>
    <t>第一部分 工程费用</t>
  </si>
  <si>
    <t>（一）</t>
  </si>
  <si>
    <t>梅城镇西门停车场充电站（天儒中学对面）</t>
  </si>
  <si>
    <t>座</t>
  </si>
  <si>
    <t>包含8个充电车位</t>
  </si>
  <si>
    <t>（二）</t>
  </si>
  <si>
    <t>梅城镇闽运客运站对面停车场充电站</t>
  </si>
  <si>
    <t>包含12个充电车位</t>
  </si>
  <si>
    <t>（三）</t>
  </si>
  <si>
    <t>闽清公交总站入口旁停车场充电站（入口围墙旁）</t>
  </si>
  <si>
    <t>（四）</t>
  </si>
  <si>
    <t>云龙乡后垅村吴孟超院士馆充电站</t>
  </si>
  <si>
    <t>包含6个充电车位</t>
  </si>
  <si>
    <t>（五）</t>
  </si>
  <si>
    <t>塔庄镇减灾防灾中心停车场充电站（塔庄镇塔下408号）</t>
  </si>
  <si>
    <t>（六）</t>
  </si>
  <si>
    <t>省璜镇客运站充电站（溪滨路3号）</t>
  </si>
  <si>
    <t>（七）</t>
  </si>
  <si>
    <t>东桥镇桥头街停车场(原镇政府旧址)</t>
  </si>
  <si>
    <t>（八）</t>
  </si>
  <si>
    <t>闽清高铁北站充电站</t>
  </si>
  <si>
    <t>（九）</t>
  </si>
  <si>
    <t>东桥镇朱山门牌楼停车场</t>
  </si>
  <si>
    <t>（十）</t>
  </si>
  <si>
    <t>梅城镇溪滨公园停车场充电站</t>
  </si>
  <si>
    <t>包含14个充电车位</t>
  </si>
  <si>
    <t>（十一）</t>
  </si>
  <si>
    <t>梅溪镇江滨停车场充电站（G316闽清江滨)</t>
  </si>
  <si>
    <t>（十二）</t>
  </si>
  <si>
    <t>坂东镇重点项目拆迁安置房小区停车场充电站</t>
  </si>
  <si>
    <t>（十三）</t>
  </si>
  <si>
    <t>白中镇白中街边停车场充电站（原铁木场）</t>
  </si>
  <si>
    <t>（十四）</t>
  </si>
  <si>
    <t>池园镇客运站充电桩站（位于井后村）</t>
  </si>
  <si>
    <t>包含10个充电车位</t>
  </si>
  <si>
    <t>（十五）</t>
  </si>
  <si>
    <t>上莲乡森林公园门口停车场充电站</t>
  </si>
  <si>
    <t>（十六）</t>
  </si>
  <si>
    <t>闽清县雄江镇梅雄村橄榄湖停车场</t>
  </si>
  <si>
    <t>（十七）</t>
  </si>
  <si>
    <t>云龙乡新能源重卡充电驿站（云海路与S308东北角地块，位于官庄村）</t>
  </si>
  <si>
    <t>包含16个充电车位</t>
  </si>
  <si>
    <t>（十八）</t>
  </si>
  <si>
    <t>金沙镇G70福银高速入口处充电站</t>
  </si>
  <si>
    <t>（十九）</t>
  </si>
  <si>
    <t>桔林乡充电站（位于四宝村)</t>
  </si>
  <si>
    <t>二</t>
  </si>
  <si>
    <t>工程建设其他费用</t>
  </si>
  <si>
    <t>建设用地费</t>
  </si>
  <si>
    <t>本项目不计</t>
  </si>
  <si>
    <t>建设单位管理费</t>
  </si>
  <si>
    <t>梅财企〔2018〕181号</t>
  </si>
  <si>
    <t>工程监理费</t>
  </si>
  <si>
    <t>发改价格〔2007〕670号，暂按8折测算</t>
  </si>
  <si>
    <t>建设项目前期工作咨询费</t>
  </si>
  <si>
    <t>闽价〔2000〕房字422 号，计价格〔1999〕1283号，暂按5折测算</t>
  </si>
  <si>
    <t>工程设计费</t>
  </si>
  <si>
    <t>计价格〔2002〕10号，暂按7折测算</t>
  </si>
  <si>
    <t>工程勘察费</t>
  </si>
  <si>
    <t>暂估金额</t>
  </si>
  <si>
    <t>环境影响咨询费</t>
  </si>
  <si>
    <t>计价格〔2002〕125号</t>
  </si>
  <si>
    <t>工程保险费</t>
  </si>
  <si>
    <t>《市政工程设计概算编制办法》建标[2011]1号文，按工程费用的0.3%测算</t>
  </si>
  <si>
    <t>招标代理服务费</t>
  </si>
  <si>
    <t>发改价格〔2002〕1980号</t>
  </si>
  <si>
    <t>场地准备及临时设施费</t>
  </si>
  <si>
    <t>《市政工程设计概算编制办法》建标[2011]1号文，按工程费用1%测算</t>
  </si>
  <si>
    <t>施工图审查费</t>
  </si>
  <si>
    <t>闽价服〔2012〕237号</t>
  </si>
  <si>
    <t>工程造价咨询费</t>
  </si>
  <si>
    <t>闽价房〔2002〕457号</t>
  </si>
  <si>
    <t>雷电灾害风险评估及专项防雷工程</t>
  </si>
  <si>
    <t>闽价服〔2015〕242号</t>
  </si>
  <si>
    <t>劳动安全卫生评审费</t>
  </si>
  <si>
    <t>《市政工程设计概算编制办法》建标[2011]1号文，按工程费用的0.5%测算</t>
  </si>
  <si>
    <t>社稳评估</t>
  </si>
  <si>
    <t>按合同金额计列</t>
  </si>
  <si>
    <t>工程款支付担保费</t>
  </si>
  <si>
    <t>闽建〔2026〕2号，暂估金额</t>
  </si>
  <si>
    <t>三</t>
  </si>
  <si>
    <t>基本预备费</t>
  </si>
  <si>
    <t>%</t>
  </si>
  <si>
    <t>（一+二）*3%</t>
  </si>
  <si>
    <t>四</t>
  </si>
  <si>
    <t>工程静态总投资</t>
  </si>
  <si>
    <t>五</t>
  </si>
  <si>
    <t>工程总投资</t>
  </si>
  <si>
    <t>工程建设其他费计算表</t>
  </si>
  <si>
    <t>项目名称：闽清县县域充换电设施补短板试点项目</t>
  </si>
  <si>
    <t>说明及计算式</t>
  </si>
  <si>
    <t>根据梅财企〔2018〕181号，工程总投资×分档收费标准</t>
  </si>
  <si>
    <t>国家发展和改革委员会、建设部发改价格〔2007〕670号，暂按8折测算，施工监理收费基价×专业调整系数×工程复杂程度调整系数×附加调整系数</t>
  </si>
  <si>
    <t>闽价〔2000〕房字422 号，计价格〔1999〕1283号，暂按5折测算，按投资额×分档收费标准×行业调整系数×工程复杂程度调整系数</t>
  </si>
  <si>
    <t>计价格〔2002〕10号，暂按7折测算，设计收费基价×专业调整系数×工程复杂程度调整系数×附加调整系数</t>
  </si>
  <si>
    <t>国家计委、国家环境保护总局计价格〔2002〕125号，投资额×分档收费标准×行业调整系数×敏感调整系数×（1+浮动幅度值）</t>
  </si>
  <si>
    <t>《市政工程设计概算编制办法》建标[2011]1号文，第一部分工程费用×0.3%</t>
  </si>
  <si>
    <t>发改价格〔2002〕1980号，工程费×分档收费标准</t>
  </si>
  <si>
    <t>《市政工程设计概算编制办法》建标[2011]1号文，第一部分工程费用×1%</t>
  </si>
  <si>
    <t>闽价服〔2012〕237号，工程费×分档收费标准</t>
  </si>
  <si>
    <t>闽价房〔2002〕457号，工程费×基准费率</t>
  </si>
  <si>
    <t>《市政工程设计概算编制办法》建标[2011]1号文，第一部分工程费用×0.5%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</si>
</sst>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0_ "/>
    <numFmt numFmtId="179" formatCode="0_ "/>
    <numFmt numFmtId="180" formatCode="0_);[Red]\(0\)"/>
  </numFmts>
  <fonts count="35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2"/>
      <name val="Times New Roman"/>
      <family val="1"/>
      <charset val="0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Calibri"/>
      <family val="2"/>
      <charset val="0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0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0" fillId="0" borderId="0"/>
    <xf numFmtId="0" fontId="6" fillId="0" borderId="0"/>
    <xf numFmtId="0" fontId="0" fillId="0" borderId="0"/>
    <xf numFmtId="0" fontId="34" fillId="0" borderId="0"/>
  </cellStyleXfs>
  <cellXfs count="92">
    <xf numFmtId="0" fontId="0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Font="1" applyFill="1"/>
    <xf numFmtId="0" fontId="0" fillId="0" borderId="0" xfId="0" applyFont="1" applyFill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51" applyNumberFormat="1" applyFont="1" applyBorder="1" applyAlignment="1">
      <alignment horizontal="left" vertical="center"/>
    </xf>
    <xf numFmtId="0" fontId="2" fillId="0" borderId="0" xfId="51" applyNumberFormat="1" applyFont="1" applyBorder="1" applyAlignment="1">
      <alignment horizontal="left" vertical="center" wrapText="1"/>
    </xf>
    <xf numFmtId="0" fontId="3" fillId="0" borderId="1" xfId="51" applyNumberFormat="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6" fillId="0" borderId="0" xfId="0" applyFont="1"/>
    <xf numFmtId="0" fontId="8" fillId="0" borderId="0" xfId="0" applyFont="1"/>
    <xf numFmtId="177" fontId="0" fillId="0" borderId="0" xfId="0" applyNumberFormat="1" applyFont="1" applyFill="1" applyAlignment="1">
      <alignment horizontal="center"/>
    </xf>
    <xf numFmtId="177" fontId="0" fillId="0" borderId="0" xfId="0" applyNumberFormat="1" applyFont="1" applyFill="1" applyAlignment="1">
      <alignment horizontal="center"/>
    </xf>
    <xf numFmtId="178" fontId="0" fillId="0" borderId="0" xfId="0" applyNumberFormat="1" applyFont="1" applyFill="1"/>
    <xf numFmtId="0" fontId="0" fillId="0" borderId="0" xfId="0" applyFont="1" applyFill="1" applyAlignment="1">
      <alignment wrapText="1"/>
    </xf>
    <xf numFmtId="179" fontId="0" fillId="0" borderId="0" xfId="0" applyNumberFormat="1" applyFont="1"/>
    <xf numFmtId="0" fontId="9" fillId="0" borderId="0" xfId="0" applyFont="1" applyFill="1" applyAlignment="1">
      <alignment horizontal="center"/>
    </xf>
    <xf numFmtId="177" fontId="9" fillId="0" borderId="0" xfId="0" applyNumberFormat="1" applyFont="1" applyFill="1" applyAlignment="1">
      <alignment horizontal="center"/>
    </xf>
    <xf numFmtId="178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 wrapText="1"/>
    </xf>
    <xf numFmtId="179" fontId="0" fillId="0" borderId="0" xfId="0" applyNumberFormat="1" applyFont="1" applyFill="1"/>
    <xf numFmtId="0" fontId="2" fillId="0" borderId="0" xfId="51" applyNumberFormat="1" applyFont="1" applyFill="1" applyBorder="1" applyAlignment="1">
      <alignment horizontal="left" vertical="center"/>
    </xf>
    <xf numFmtId="177" fontId="2" fillId="0" borderId="0" xfId="51" applyNumberFormat="1" applyFont="1" applyFill="1" applyBorder="1" applyAlignment="1">
      <alignment horizontal="center" vertical="center"/>
    </xf>
    <xf numFmtId="178" fontId="2" fillId="0" borderId="0" xfId="51" applyNumberFormat="1" applyFont="1" applyFill="1" applyBorder="1" applyAlignment="1">
      <alignment horizontal="left" vertical="center"/>
    </xf>
    <xf numFmtId="0" fontId="2" fillId="0" borderId="0" xfId="51" applyNumberFormat="1" applyFont="1" applyFill="1" applyBorder="1" applyAlignment="1">
      <alignment horizontal="right" vertical="center" wrapText="1"/>
    </xf>
    <xf numFmtId="179" fontId="2" fillId="0" borderId="0" xfId="0" applyNumberFormat="1" applyFont="1" applyFill="1"/>
    <xf numFmtId="0" fontId="0" fillId="0" borderId="1" xfId="51" applyNumberFormat="1" applyFont="1" applyFill="1" applyBorder="1" applyAlignment="1">
      <alignment horizontal="center" vertical="center"/>
    </xf>
    <xf numFmtId="177" fontId="0" fillId="0" borderId="1" xfId="51" applyNumberFormat="1" applyFont="1" applyFill="1" applyBorder="1" applyAlignment="1">
      <alignment horizontal="center" vertical="center"/>
    </xf>
    <xf numFmtId="177" fontId="10" fillId="0" borderId="1" xfId="51" applyNumberFormat="1" applyFont="1" applyFill="1" applyBorder="1" applyAlignment="1">
      <alignment horizontal="center" vertical="center"/>
    </xf>
    <xf numFmtId="177" fontId="0" fillId="0" borderId="1" xfId="51" applyNumberFormat="1" applyFont="1" applyFill="1" applyBorder="1" applyAlignment="1">
      <alignment horizontal="center" vertical="center" wrapText="1"/>
    </xf>
    <xf numFmtId="178" fontId="0" fillId="0" borderId="1" xfId="51" applyNumberFormat="1" applyFont="1" applyFill="1" applyBorder="1" applyAlignment="1">
      <alignment horizontal="center" vertical="center" wrapText="1"/>
    </xf>
    <xf numFmtId="0" fontId="3" fillId="0" borderId="0" xfId="0" applyFont="1"/>
    <xf numFmtId="179" fontId="3" fillId="0" borderId="0" xfId="0" applyNumberFormat="1" applyFont="1" applyFill="1"/>
    <xf numFmtId="178" fontId="0" fillId="0" borderId="1" xfId="51" applyNumberFormat="1" applyFont="1" applyFill="1" applyBorder="1" applyAlignment="1">
      <alignment horizontal="center" vertical="center"/>
    </xf>
    <xf numFmtId="0" fontId="11" fillId="0" borderId="1" xfId="51" applyNumberFormat="1" applyFont="1" applyFill="1" applyBorder="1" applyAlignment="1">
      <alignment horizontal="center" vertical="center" wrapText="1"/>
    </xf>
    <xf numFmtId="177" fontId="11" fillId="0" borderId="2" xfId="51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 shrinkToFit="1"/>
    </xf>
    <xf numFmtId="177" fontId="12" fillId="0" borderId="1" xfId="0" applyNumberFormat="1" applyFont="1" applyFill="1" applyBorder="1" applyAlignment="1">
      <alignment horizontal="center" vertical="center" wrapText="1" shrinkToFit="1"/>
    </xf>
    <xf numFmtId="177" fontId="11" fillId="0" borderId="1" xfId="51" applyNumberFormat="1" applyFont="1" applyFill="1" applyBorder="1" applyAlignment="1">
      <alignment horizontal="center" vertical="center" wrapText="1"/>
    </xf>
    <xf numFmtId="179" fontId="11" fillId="0" borderId="1" xfId="51" applyNumberFormat="1" applyFont="1" applyFill="1" applyBorder="1" applyAlignment="1">
      <alignment horizontal="center" vertical="center" wrapText="1"/>
    </xf>
    <xf numFmtId="179" fontId="4" fillId="0" borderId="0" xfId="0" applyNumberFormat="1" applyFont="1" applyFill="1"/>
    <xf numFmtId="0" fontId="0" fillId="0" borderId="1" xfId="5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 shrinkToFit="1"/>
    </xf>
    <xf numFmtId="179" fontId="0" fillId="0" borderId="1" xfId="51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179" fontId="6" fillId="2" borderId="0" xfId="0" applyNumberFormat="1" applyFont="1" applyFill="1"/>
    <xf numFmtId="179" fontId="6" fillId="0" borderId="0" xfId="0" applyNumberFormat="1" applyFont="1" applyFill="1"/>
    <xf numFmtId="178" fontId="11" fillId="0" borderId="1" xfId="51" applyNumberFormat="1" applyFont="1" applyFill="1" applyBorder="1" applyAlignment="1">
      <alignment horizontal="center" vertical="center" wrapText="1"/>
    </xf>
    <xf numFmtId="179" fontId="8" fillId="0" borderId="0" xfId="0" applyNumberFormat="1" applyFont="1" applyFill="1"/>
    <xf numFmtId="0" fontId="14" fillId="0" borderId="1" xfId="0" applyFont="1" applyBorder="1" applyAlignment="1">
      <alignment horizontal="center" vertical="center" wrapText="1"/>
    </xf>
    <xf numFmtId="177" fontId="0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3" fillId="2" borderId="0" xfId="0" applyFont="1" applyFill="1"/>
    <xf numFmtId="179" fontId="6" fillId="0" borderId="0" xfId="0" applyNumberFormat="1" applyFont="1" applyFill="1"/>
    <xf numFmtId="0" fontId="14" fillId="0" borderId="1" xfId="0" applyFont="1" applyBorder="1" applyAlignment="1">
      <alignment horizontal="center" vertical="center"/>
    </xf>
    <xf numFmtId="0" fontId="6" fillId="3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5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5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6" fontId="11" fillId="0" borderId="2" xfId="51" applyNumberFormat="1" applyFont="1" applyFill="1" applyBorder="1" applyAlignment="1">
      <alignment horizontal="center" vertical="center" wrapText="1"/>
    </xf>
    <xf numFmtId="0" fontId="11" fillId="0" borderId="3" xfId="51" applyNumberFormat="1" applyFont="1" applyFill="1" applyBorder="1" applyAlignment="1">
      <alignment horizontal="center" vertical="center" wrapText="1"/>
    </xf>
    <xf numFmtId="176" fontId="11" fillId="0" borderId="1" xfId="51" applyNumberFormat="1" applyFont="1" applyFill="1" applyBorder="1" applyAlignment="1">
      <alignment horizontal="center" vertical="center" wrapText="1"/>
    </xf>
    <xf numFmtId="180" fontId="11" fillId="0" borderId="1" xfId="51" applyNumberFormat="1" applyFont="1" applyFill="1" applyBorder="1" applyAlignment="1">
      <alignment horizontal="center" vertical="center" wrapText="1"/>
    </xf>
    <xf numFmtId="179" fontId="8" fillId="0" borderId="0" xfId="0" applyNumberFormat="1" applyFont="1" applyFill="1"/>
    <xf numFmtId="180" fontId="11" fillId="0" borderId="2" xfId="5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177" fontId="6" fillId="0" borderId="0" xfId="0" applyNumberFormat="1" applyFont="1" applyFill="1" applyAlignment="1">
      <alignment horizontal="center"/>
    </xf>
    <xf numFmtId="177" fontId="6" fillId="0" borderId="0" xfId="0" applyNumberFormat="1" applyFont="1" applyFill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_玉环污水调整概算" xfId="50"/>
    <cellStyle name="常规_20100403总概算表" xfId="51"/>
    <cellStyle name="Normal" xfId="52"/>
  </cellStyles>
  <tableStyles count="0" defaultTableStyle="TableStyleMedium2" defaultPivotStyle="PivotStyleLight16"/>
  <colors>
    <mruColors>
      <color rgb="00FFFF00"/>
      <color rgb="00E2EFD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zoomScaleSheetLayoutView="60" workbookViewId="0">
      <selection activeCell="A7" sqref="A7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9"/>
  <sheetViews>
    <sheetView tabSelected="1" zoomScaleSheetLayoutView="60" workbookViewId="0">
      <pane ySplit="5" topLeftCell="A6" activePane="bottomLeft" state="frozen"/>
      <selection/>
      <selection pane="bottomLeft" activeCell="B5" sqref="B5"/>
    </sheetView>
  </sheetViews>
  <sheetFormatPr defaultColWidth="9" defaultRowHeight="14.25"/>
  <cols>
    <col min="1" max="1" width="9.375" style="4" customWidth="1"/>
    <col min="2" max="2" width="44.375" style="4" customWidth="1"/>
    <col min="3" max="4" width="9.24166666666667" style="28" customWidth="1"/>
    <col min="5" max="5" width="9.125" style="28" customWidth="1"/>
    <col min="6" max="6" width="8.05" style="28" customWidth="1"/>
    <col min="7" max="7" width="9.125" style="29" customWidth="1"/>
    <col min="8" max="8" width="5.10833333333333" style="4" customWidth="1"/>
    <col min="9" max="9" width="8.375" style="30" customWidth="1"/>
    <col min="10" max="10" width="11.625" style="4" customWidth="1"/>
    <col min="11" max="11" width="28.625" style="31" customWidth="1"/>
    <col min="12" max="12" width="12.875" customWidth="1"/>
    <col min="13" max="13" width="12.625" customWidth="1"/>
    <col min="14" max="14" width="14.4083333333333" customWidth="1"/>
    <col min="15" max="15" width="9" style="32" customWidth="1"/>
  </cols>
  <sheetData>
    <row r="1" s="4" customFormat="1" ht="29" customHeight="1" spans="1:18">
      <c r="A1" s="33" t="s">
        <v>0</v>
      </c>
      <c r="B1" s="33"/>
      <c r="C1" s="34"/>
      <c r="D1" s="34"/>
      <c r="E1" s="34"/>
      <c r="F1" s="34"/>
      <c r="G1" s="34"/>
      <c r="H1" s="33"/>
      <c r="I1" s="35"/>
      <c r="J1" s="33"/>
      <c r="K1" s="36"/>
      <c r="O1" s="37"/>
    </row>
    <row r="2" s="21" customFormat="1" ht="32" customHeight="1" spans="1:18">
      <c r="A2" s="38" t="s">
        <v>1</v>
      </c>
      <c r="B2" s="38"/>
      <c r="C2" s="39"/>
      <c r="D2" s="39"/>
      <c r="E2" s="39"/>
      <c r="F2" s="39"/>
      <c r="G2" s="39"/>
      <c r="H2" s="38"/>
      <c r="I2" s="40"/>
      <c r="J2" s="38"/>
      <c r="K2" s="41"/>
      <c r="L2" s="2"/>
      <c r="M2" s="2"/>
      <c r="N2" s="2"/>
      <c r="O2" s="42"/>
    </row>
    <row r="3" s="22" customFormat="1" ht="27" customHeight="1" spans="1:18">
      <c r="A3" s="43" t="s">
        <v>2</v>
      </c>
      <c r="B3" s="44" t="s">
        <v>3</v>
      </c>
      <c r="C3" s="44" t="s">
        <v>4</v>
      </c>
      <c r="D3" s="44"/>
      <c r="E3" s="45"/>
      <c r="F3" s="45"/>
      <c r="G3" s="45"/>
      <c r="H3" s="46" t="s">
        <v>5</v>
      </c>
      <c r="I3" s="47"/>
      <c r="J3" s="46"/>
      <c r="K3" s="46" t="s">
        <v>6</v>
      </c>
      <c r="L3" s="48"/>
      <c r="M3" s="48"/>
      <c r="N3" s="48"/>
      <c r="O3" s="49"/>
    </row>
    <row r="4" s="22" customFormat="1" ht="40" customHeight="1" spans="1:18">
      <c r="A4" s="43"/>
      <c r="B4" s="44"/>
      <c r="C4" s="46" t="s">
        <v>7</v>
      </c>
      <c r="D4" s="46" t="s">
        <v>8</v>
      </c>
      <c r="E4" s="46" t="s">
        <v>9</v>
      </c>
      <c r="F4" s="44" t="s">
        <v>10</v>
      </c>
      <c r="G4" s="44" t="s">
        <v>11</v>
      </c>
      <c r="H4" s="44" t="s">
        <v>12</v>
      </c>
      <c r="I4" s="50" t="s">
        <v>13</v>
      </c>
      <c r="J4" s="46" t="s">
        <v>14</v>
      </c>
      <c r="K4" s="46"/>
      <c r="L4" s="48"/>
      <c r="M4" s="48"/>
      <c r="N4" s="48"/>
      <c r="O4" s="49"/>
    </row>
    <row r="5" s="23" customFormat="1" ht="30" customHeight="1" spans="1:18">
      <c r="A5" s="51" t="s">
        <v>15</v>
      </c>
      <c r="B5" s="52" t="s">
        <v>16</v>
      </c>
      <c r="C5" s="53">
        <f>SUM(C6:C24)</f>
        <v>570.9938</v>
      </c>
      <c r="D5" s="53">
        <f>SUM(D6:D24)</f>
        <v>673.0933</v>
      </c>
      <c r="E5" s="53">
        <f>SUM(E6:E24)</f>
        <v>1252.4504</v>
      </c>
      <c r="F5" s="54">
        <f>SUM(F6:F24)</f>
        <v>0</v>
      </c>
      <c r="G5" s="54">
        <f>SUM(C5:F5)</f>
        <v>2496.5375</v>
      </c>
      <c r="H5" s="55"/>
      <c r="I5" s="55"/>
      <c r="J5" s="56"/>
      <c r="K5" s="55"/>
      <c r="L5" s="22">
        <v>2496.54</v>
      </c>
      <c r="M5" s="48">
        <v>2496.54</v>
      </c>
      <c r="N5" s="48"/>
      <c r="O5" s="57"/>
    </row>
    <row r="6" s="24" customFormat="1" ht="30" customHeight="1" spans="1:18">
      <c r="A6" s="58" t="s">
        <v>17</v>
      </c>
      <c r="B6" s="59" t="s">
        <v>18</v>
      </c>
      <c r="C6" s="60">
        <v>7.9182</v>
      </c>
      <c r="D6" s="60">
        <f>83.4176-E6</f>
        <v>26.142</v>
      </c>
      <c r="E6" s="61">
        <v>57.2756</v>
      </c>
      <c r="F6" s="62"/>
      <c r="G6" s="63">
        <f t="shared" ref="G5:G13" si="0">SUM(C6:F6)</f>
        <v>91.3358</v>
      </c>
      <c r="H6" s="46" t="s">
        <v>19</v>
      </c>
      <c r="I6" s="64">
        <v>1</v>
      </c>
      <c r="J6" s="64">
        <f>G6*I6*10000</f>
        <v>913358</v>
      </c>
      <c r="K6" s="46" t="s">
        <v>20</v>
      </c>
      <c r="L6" s="65"/>
      <c r="N6" s="48"/>
      <c r="O6" s="66"/>
      <c r="R6" s="23"/>
    </row>
    <row r="7" s="24" customFormat="1" ht="30" customHeight="1" spans="1:18">
      <c r="A7" s="58" t="s">
        <v>21</v>
      </c>
      <c r="B7" s="59" t="s">
        <v>22</v>
      </c>
      <c r="C7" s="60">
        <v>12.5788</v>
      </c>
      <c r="D7" s="60">
        <f>93.6601-E7</f>
        <v>32.8445</v>
      </c>
      <c r="E7" s="61">
        <v>60.8156</v>
      </c>
      <c r="F7" s="62"/>
      <c r="G7" s="63">
        <f t="shared" si="0"/>
        <v>106.2389</v>
      </c>
      <c r="H7" s="46" t="s">
        <v>19</v>
      </c>
      <c r="I7" s="64">
        <v>1</v>
      </c>
      <c r="J7" s="64">
        <f t="shared" ref="J7:J24" si="1">G7*I7*10000</f>
        <v>1062389</v>
      </c>
      <c r="K7" s="46" t="s">
        <v>23</v>
      </c>
      <c r="L7" s="65"/>
      <c r="N7" s="48"/>
      <c r="O7" s="66"/>
      <c r="R7" s="23"/>
    </row>
    <row r="8" s="24" customFormat="1" ht="30" customHeight="1" spans="1:18">
      <c r="A8" s="58" t="s">
        <v>24</v>
      </c>
      <c r="B8" s="59" t="s">
        <v>25</v>
      </c>
      <c r="C8" s="60">
        <v>19.3879</v>
      </c>
      <c r="D8" s="60">
        <f>95.6796-E8</f>
        <v>34.864</v>
      </c>
      <c r="E8" s="61">
        <v>60.8156</v>
      </c>
      <c r="F8" s="62"/>
      <c r="G8" s="63">
        <f t="shared" si="0"/>
        <v>115.0675</v>
      </c>
      <c r="H8" s="46" t="s">
        <v>19</v>
      </c>
      <c r="I8" s="64">
        <v>1</v>
      </c>
      <c r="J8" s="64">
        <f t="shared" si="1"/>
        <v>1150675</v>
      </c>
      <c r="K8" s="46" t="s">
        <v>23</v>
      </c>
      <c r="L8" s="65"/>
      <c r="M8" s="65"/>
      <c r="N8" s="48"/>
      <c r="O8" s="67"/>
      <c r="R8" s="23"/>
    </row>
    <row r="9" s="24" customFormat="1" ht="30" customHeight="1" spans="1:18">
      <c r="A9" s="58" t="s">
        <v>26</v>
      </c>
      <c r="B9" s="59" t="s">
        <v>27</v>
      </c>
      <c r="C9" s="60">
        <v>8.2235</v>
      </c>
      <c r="D9" s="60">
        <f>59.5629-E9</f>
        <v>17.6048</v>
      </c>
      <c r="E9" s="61">
        <v>41.9581</v>
      </c>
      <c r="F9" s="62"/>
      <c r="G9" s="63">
        <f t="shared" si="0"/>
        <v>67.7864</v>
      </c>
      <c r="H9" s="46" t="s">
        <v>19</v>
      </c>
      <c r="I9" s="64">
        <v>1</v>
      </c>
      <c r="J9" s="64">
        <f t="shared" si="1"/>
        <v>677864</v>
      </c>
      <c r="K9" s="46" t="s">
        <v>28</v>
      </c>
      <c r="L9" s="65"/>
      <c r="M9" s="65"/>
      <c r="N9" s="48"/>
      <c r="O9" s="67"/>
      <c r="R9" s="23"/>
    </row>
    <row r="10" s="24" customFormat="1" ht="30" customHeight="1" spans="1:18">
      <c r="A10" s="58" t="s">
        <v>29</v>
      </c>
      <c r="B10" s="59" t="s">
        <v>30</v>
      </c>
      <c r="C10" s="60">
        <v>16.124</v>
      </c>
      <c r="D10" s="60">
        <f>92.1534-E10</f>
        <v>31.3378</v>
      </c>
      <c r="E10" s="61">
        <v>60.8156</v>
      </c>
      <c r="F10" s="62"/>
      <c r="G10" s="63">
        <f t="shared" si="0"/>
        <v>108.2774</v>
      </c>
      <c r="H10" s="46" t="s">
        <v>19</v>
      </c>
      <c r="I10" s="64">
        <v>1</v>
      </c>
      <c r="J10" s="64">
        <f t="shared" si="1"/>
        <v>1082774</v>
      </c>
      <c r="K10" s="46" t="s">
        <v>23</v>
      </c>
      <c r="L10" s="65"/>
      <c r="M10" s="65"/>
      <c r="N10" s="48"/>
      <c r="O10" s="67"/>
      <c r="R10" s="23"/>
    </row>
    <row r="11" s="24" customFormat="1" ht="30" customHeight="1" spans="1:18">
      <c r="A11" s="58" t="s">
        <v>31</v>
      </c>
      <c r="B11" s="59" t="s">
        <v>32</v>
      </c>
      <c r="C11" s="60">
        <v>11.9875</v>
      </c>
      <c r="D11" s="60">
        <f>95.8525-E11</f>
        <v>35.0369</v>
      </c>
      <c r="E11" s="61">
        <v>60.8156</v>
      </c>
      <c r="F11" s="62"/>
      <c r="G11" s="63">
        <f t="shared" si="0"/>
        <v>107.84</v>
      </c>
      <c r="H11" s="46" t="s">
        <v>19</v>
      </c>
      <c r="I11" s="64">
        <v>1</v>
      </c>
      <c r="J11" s="64">
        <f t="shared" si="1"/>
        <v>1078400</v>
      </c>
      <c r="K11" s="46" t="s">
        <v>23</v>
      </c>
      <c r="L11" s="65"/>
      <c r="M11" s="65"/>
      <c r="N11" s="48"/>
      <c r="O11" s="67"/>
      <c r="R11" s="23"/>
    </row>
    <row r="12" s="24" customFormat="1" ht="30" customHeight="1" spans="1:18">
      <c r="A12" s="58" t="s">
        <v>33</v>
      </c>
      <c r="B12" s="59" t="s">
        <v>34</v>
      </c>
      <c r="C12" s="60">
        <v>11.0266</v>
      </c>
      <c r="D12" s="60">
        <f>95.7696-E12</f>
        <v>34.954</v>
      </c>
      <c r="E12" s="61">
        <v>60.8156</v>
      </c>
      <c r="F12" s="62"/>
      <c r="G12" s="63">
        <f t="shared" si="0"/>
        <v>106.7962</v>
      </c>
      <c r="H12" s="46" t="s">
        <v>19</v>
      </c>
      <c r="I12" s="64">
        <v>1</v>
      </c>
      <c r="J12" s="64">
        <f t="shared" si="1"/>
        <v>1067962</v>
      </c>
      <c r="K12" s="46" t="s">
        <v>23</v>
      </c>
      <c r="L12" s="65"/>
      <c r="M12" s="65"/>
      <c r="N12" s="48"/>
      <c r="O12" s="67"/>
      <c r="R12" s="23"/>
    </row>
    <row r="13" s="24" customFormat="1" ht="30" customHeight="1" spans="1:18">
      <c r="A13" s="58" t="s">
        <v>35</v>
      </c>
      <c r="B13" s="59" t="s">
        <v>36</v>
      </c>
      <c r="C13" s="60">
        <v>42.3677</v>
      </c>
      <c r="D13" s="60">
        <f>148.6059-E13</f>
        <v>36.6273</v>
      </c>
      <c r="E13" s="61">
        <v>111.9786</v>
      </c>
      <c r="F13" s="62"/>
      <c r="G13" s="63">
        <f t="shared" si="0"/>
        <v>190.9736</v>
      </c>
      <c r="H13" s="46" t="s">
        <v>19</v>
      </c>
      <c r="I13" s="64">
        <v>1</v>
      </c>
      <c r="J13" s="64">
        <f t="shared" si="1"/>
        <v>1909736</v>
      </c>
      <c r="K13" s="46" t="s">
        <v>23</v>
      </c>
      <c r="L13" s="65"/>
      <c r="M13" s="65"/>
      <c r="N13" s="48"/>
      <c r="O13" s="67"/>
      <c r="R13" s="23"/>
    </row>
    <row r="14" s="24" customFormat="1" ht="30" customHeight="1" spans="1:18">
      <c r="A14" s="58" t="s">
        <v>37</v>
      </c>
      <c r="B14" s="59" t="s">
        <v>38</v>
      </c>
      <c r="C14" s="60">
        <v>10.3265</v>
      </c>
      <c r="D14" s="60">
        <f>98.6031-E14</f>
        <v>37.7875</v>
      </c>
      <c r="E14" s="61">
        <v>60.8156</v>
      </c>
      <c r="F14" s="62"/>
      <c r="G14" s="63">
        <f t="shared" ref="G14:G24" si="2">SUM(C14:F14)</f>
        <v>108.9296</v>
      </c>
      <c r="H14" s="46" t="s">
        <v>19</v>
      </c>
      <c r="I14" s="64">
        <v>1</v>
      </c>
      <c r="J14" s="64">
        <f t="shared" si="1"/>
        <v>1089296</v>
      </c>
      <c r="K14" s="46" t="s">
        <v>23</v>
      </c>
      <c r="L14" s="65"/>
      <c r="M14" s="65"/>
      <c r="N14" s="48"/>
      <c r="O14" s="67"/>
      <c r="R14" s="23"/>
    </row>
    <row r="15" s="24" customFormat="1" ht="30" customHeight="1" spans="1:18">
      <c r="A15" s="58" t="s">
        <v>39</v>
      </c>
      <c r="B15" s="59" t="s">
        <v>40</v>
      </c>
      <c r="C15" s="60">
        <v>7.1715</v>
      </c>
      <c r="D15" s="60">
        <f>94.6747-E15</f>
        <v>31.9991</v>
      </c>
      <c r="E15" s="61">
        <v>62.6756</v>
      </c>
      <c r="F15" s="62"/>
      <c r="G15" s="63">
        <f t="shared" si="2"/>
        <v>101.8462</v>
      </c>
      <c r="H15" s="46" t="s">
        <v>19</v>
      </c>
      <c r="I15" s="64">
        <v>1</v>
      </c>
      <c r="J15" s="64">
        <f t="shared" si="1"/>
        <v>1018462</v>
      </c>
      <c r="K15" s="46" t="s">
        <v>41</v>
      </c>
      <c r="L15" s="65"/>
      <c r="M15" s="65"/>
      <c r="N15" s="48"/>
      <c r="O15" s="67"/>
      <c r="R15" s="23"/>
    </row>
    <row r="16" s="24" customFormat="1" ht="30" customHeight="1" spans="1:18">
      <c r="A16" s="58" t="s">
        <v>42</v>
      </c>
      <c r="B16" s="59" t="s">
        <v>43</v>
      </c>
      <c r="C16" s="60">
        <v>7.1742</v>
      </c>
      <c r="D16" s="60">
        <f>93.9605-E16</f>
        <v>31.2849</v>
      </c>
      <c r="E16" s="61">
        <v>62.6756</v>
      </c>
      <c r="F16" s="62"/>
      <c r="G16" s="63">
        <f t="shared" si="2"/>
        <v>101.1347</v>
      </c>
      <c r="H16" s="46" t="s">
        <v>19</v>
      </c>
      <c r="I16" s="64">
        <v>1</v>
      </c>
      <c r="J16" s="64">
        <f t="shared" si="1"/>
        <v>1011347</v>
      </c>
      <c r="K16" s="46" t="s">
        <v>41</v>
      </c>
      <c r="L16" s="65"/>
      <c r="M16" s="65"/>
      <c r="N16" s="48"/>
      <c r="O16" s="67"/>
      <c r="R16" s="23"/>
    </row>
    <row r="17" s="24" customFormat="1" ht="30" customHeight="1" spans="1:18">
      <c r="A17" s="58" t="s">
        <v>44</v>
      </c>
      <c r="B17" s="59" t="s">
        <v>45</v>
      </c>
      <c r="C17" s="60">
        <v>6.6983</v>
      </c>
      <c r="D17" s="60">
        <f>88.9136-E17</f>
        <v>28.098</v>
      </c>
      <c r="E17" s="61">
        <v>60.8156</v>
      </c>
      <c r="F17" s="62"/>
      <c r="G17" s="63">
        <f t="shared" si="2"/>
        <v>95.6119</v>
      </c>
      <c r="H17" s="46" t="s">
        <v>19</v>
      </c>
      <c r="I17" s="64">
        <v>1</v>
      </c>
      <c r="J17" s="64">
        <f t="shared" si="1"/>
        <v>956119</v>
      </c>
      <c r="K17" s="46" t="s">
        <v>23</v>
      </c>
      <c r="L17" s="65"/>
      <c r="M17" s="65"/>
      <c r="N17" s="48"/>
      <c r="O17" s="67"/>
      <c r="R17" s="23"/>
    </row>
    <row r="18" s="24" customFormat="1" ht="30" customHeight="1" spans="1:18">
      <c r="A18" s="58" t="s">
        <v>46</v>
      </c>
      <c r="B18" s="59" t="s">
        <v>47</v>
      </c>
      <c r="C18" s="60">
        <v>81.1578</v>
      </c>
      <c r="D18" s="60">
        <f>95.0758-E18</f>
        <v>32.7752</v>
      </c>
      <c r="E18" s="61">
        <v>62.3006</v>
      </c>
      <c r="F18" s="62"/>
      <c r="G18" s="63">
        <f t="shared" si="2"/>
        <v>176.2336</v>
      </c>
      <c r="H18" s="46" t="s">
        <v>19</v>
      </c>
      <c r="I18" s="64">
        <v>1</v>
      </c>
      <c r="J18" s="64">
        <f t="shared" si="1"/>
        <v>1762336</v>
      </c>
      <c r="K18" s="46" t="s">
        <v>23</v>
      </c>
      <c r="L18" s="65"/>
      <c r="M18" s="65"/>
      <c r="N18" s="48"/>
      <c r="O18" s="67"/>
      <c r="R18" s="23"/>
    </row>
    <row r="19" s="24" customFormat="1" ht="30" customHeight="1" spans="1:18">
      <c r="A19" s="58" t="s">
        <v>48</v>
      </c>
      <c r="B19" s="59" t="s">
        <v>49</v>
      </c>
      <c r="C19" s="60">
        <v>7.3777</v>
      </c>
      <c r="D19" s="60">
        <f>87.0017-E19</f>
        <v>28.0461</v>
      </c>
      <c r="E19" s="61">
        <v>58.9556</v>
      </c>
      <c r="F19" s="62"/>
      <c r="G19" s="63">
        <f t="shared" si="2"/>
        <v>94.3794</v>
      </c>
      <c r="H19" s="46" t="s">
        <v>19</v>
      </c>
      <c r="I19" s="64">
        <v>1</v>
      </c>
      <c r="J19" s="64">
        <f t="shared" si="1"/>
        <v>943794</v>
      </c>
      <c r="K19" s="46" t="s">
        <v>50</v>
      </c>
      <c r="L19" s="65"/>
      <c r="M19" s="65"/>
      <c r="N19" s="48"/>
      <c r="O19" s="67"/>
      <c r="R19" s="23"/>
    </row>
    <row r="20" s="24" customFormat="1" ht="30" customHeight="1" spans="1:18">
      <c r="A20" s="58" t="s">
        <v>51</v>
      </c>
      <c r="B20" s="59" t="s">
        <v>52</v>
      </c>
      <c r="C20" s="60">
        <v>7.5712</v>
      </c>
      <c r="D20" s="60">
        <f>59.0652-E20</f>
        <v>17.1071</v>
      </c>
      <c r="E20" s="61">
        <v>41.9581</v>
      </c>
      <c r="F20" s="62"/>
      <c r="G20" s="63">
        <f t="shared" si="2"/>
        <v>66.6364</v>
      </c>
      <c r="H20" s="46" t="s">
        <v>19</v>
      </c>
      <c r="I20" s="64">
        <v>1</v>
      </c>
      <c r="J20" s="64">
        <f t="shared" si="1"/>
        <v>666364</v>
      </c>
      <c r="K20" s="46" t="s">
        <v>28</v>
      </c>
      <c r="L20" s="65"/>
      <c r="M20" s="65"/>
      <c r="N20" s="48"/>
      <c r="O20" s="67"/>
      <c r="R20" s="23"/>
    </row>
    <row r="21" s="24" customFormat="1" ht="30" customHeight="1" spans="1:18">
      <c r="A21" s="58" t="s">
        <v>53</v>
      </c>
      <c r="B21" s="59" t="s">
        <v>54</v>
      </c>
      <c r="C21" s="60">
        <v>7.3831</v>
      </c>
      <c r="D21" s="60">
        <f>101.8886-E21</f>
        <v>39.213</v>
      </c>
      <c r="E21" s="61">
        <v>62.6756</v>
      </c>
      <c r="F21" s="62"/>
      <c r="G21" s="63">
        <f t="shared" si="2"/>
        <v>109.2717</v>
      </c>
      <c r="H21" s="46" t="s">
        <v>19</v>
      </c>
      <c r="I21" s="64">
        <v>1</v>
      </c>
      <c r="J21" s="64">
        <f t="shared" si="1"/>
        <v>1092717</v>
      </c>
      <c r="K21" s="46" t="s">
        <v>41</v>
      </c>
      <c r="L21" s="65"/>
      <c r="M21" s="65"/>
      <c r="N21" s="48"/>
      <c r="O21" s="67"/>
      <c r="R21" s="23"/>
    </row>
    <row r="22" s="24" customFormat="1" ht="30" customHeight="1" spans="1:18">
      <c r="A22" s="58" t="s">
        <v>55</v>
      </c>
      <c r="B22" s="59" t="s">
        <v>56</v>
      </c>
      <c r="C22" s="60">
        <v>242.0708</v>
      </c>
      <c r="D22" s="60">
        <f>314.0421-E22</f>
        <v>135.1555</v>
      </c>
      <c r="E22" s="61">
        <v>178.8866</v>
      </c>
      <c r="F22" s="62"/>
      <c r="G22" s="63">
        <f t="shared" si="2"/>
        <v>556.1129</v>
      </c>
      <c r="H22" s="46" t="s">
        <v>19</v>
      </c>
      <c r="I22" s="64">
        <v>1</v>
      </c>
      <c r="J22" s="64">
        <f t="shared" si="1"/>
        <v>5561129</v>
      </c>
      <c r="K22" s="46" t="s">
        <v>57</v>
      </c>
      <c r="L22" s="65"/>
      <c r="M22" s="65"/>
      <c r="N22" s="48"/>
      <c r="O22" s="67"/>
      <c r="R22" s="23"/>
    </row>
    <row r="23" s="24" customFormat="1" ht="30" customHeight="1" spans="1:18">
      <c r="A23" s="58" t="s">
        <v>58</v>
      </c>
      <c r="B23" s="59" t="s">
        <v>59</v>
      </c>
      <c r="C23" s="60">
        <v>52.9726</v>
      </c>
      <c r="D23" s="60">
        <f>63.4751-E23</f>
        <v>20.032</v>
      </c>
      <c r="E23" s="61">
        <v>43.4431</v>
      </c>
      <c r="F23" s="62"/>
      <c r="G23" s="63">
        <f t="shared" si="2"/>
        <v>116.4477</v>
      </c>
      <c r="H23" s="46" t="s">
        <v>19</v>
      </c>
      <c r="I23" s="64">
        <v>1</v>
      </c>
      <c r="J23" s="64">
        <f t="shared" si="1"/>
        <v>1164477</v>
      </c>
      <c r="K23" s="46" t="s">
        <v>28</v>
      </c>
      <c r="L23" s="65"/>
      <c r="M23" s="65"/>
      <c r="N23" s="48"/>
      <c r="O23" s="67"/>
      <c r="R23" s="23"/>
    </row>
    <row r="24" s="24" customFormat="1" ht="30" customHeight="1" spans="1:18">
      <c r="A24" s="58" t="s">
        <v>60</v>
      </c>
      <c r="B24" s="59" t="s">
        <v>61</v>
      </c>
      <c r="C24" s="60">
        <v>11.4759</v>
      </c>
      <c r="D24" s="60">
        <f>64.1417-E24</f>
        <v>22.1836</v>
      </c>
      <c r="E24" s="61">
        <v>41.9581</v>
      </c>
      <c r="F24" s="62"/>
      <c r="G24" s="63">
        <f t="shared" si="2"/>
        <v>75.6176</v>
      </c>
      <c r="H24" s="46" t="s">
        <v>19</v>
      </c>
      <c r="I24" s="64">
        <v>1</v>
      </c>
      <c r="J24" s="64">
        <f t="shared" si="1"/>
        <v>756176</v>
      </c>
      <c r="K24" s="46" t="s">
        <v>28</v>
      </c>
      <c r="L24" s="65"/>
      <c r="M24" s="65"/>
      <c r="N24" s="48"/>
      <c r="O24" s="67"/>
      <c r="R24" s="23"/>
    </row>
    <row r="25" s="25" customFormat="1" ht="30" customHeight="1" spans="1:18">
      <c r="A25" s="51" t="s">
        <v>62</v>
      </c>
      <c r="B25" s="55" t="s">
        <v>63</v>
      </c>
      <c r="C25" s="55"/>
      <c r="D25" s="55"/>
      <c r="E25" s="55"/>
      <c r="F25" s="55">
        <f t="shared" ref="F25:F44" si="3">G25</f>
        <v>240.848756410208</v>
      </c>
      <c r="G25" s="55">
        <f>SUM(G26:G41)</f>
        <v>240.848756410208</v>
      </c>
      <c r="H25" s="55"/>
      <c r="I25" s="68"/>
      <c r="J25" s="55"/>
      <c r="K25" s="55"/>
      <c r="L25" s="25">
        <f>SUM(L26:L41)</f>
        <v>240.842756410208</v>
      </c>
      <c r="M25" s="25">
        <f>SUM(M26:M41)</f>
        <v>240.85</v>
      </c>
      <c r="N25" s="48"/>
      <c r="O25" s="69"/>
    </row>
    <row r="26" s="25" customFormat="1" ht="30" customHeight="1" spans="1:18">
      <c r="A26" s="58">
        <v>1</v>
      </c>
      <c r="B26" s="70" t="s">
        <v>64</v>
      </c>
      <c r="C26" s="55"/>
      <c r="D26" s="55"/>
      <c r="E26" s="55"/>
      <c r="F26" s="71">
        <f t="shared" si="3"/>
        <v>0</v>
      </c>
      <c r="G26" s="46">
        <v>0</v>
      </c>
      <c r="H26" s="55"/>
      <c r="I26" s="68"/>
      <c r="J26" s="55"/>
      <c r="K26" s="72" t="s">
        <v>65</v>
      </c>
      <c r="L26" s="25">
        <v>0</v>
      </c>
      <c r="M26" s="65">
        <v>0</v>
      </c>
      <c r="N26" s="48"/>
      <c r="O26" s="69"/>
    </row>
    <row r="27" s="26" customFormat="1" ht="30" customHeight="1" spans="1:18">
      <c r="A27" s="58">
        <v>2</v>
      </c>
      <c r="B27" s="70" t="s">
        <v>66</v>
      </c>
      <c r="C27" s="46"/>
      <c r="D27" s="46"/>
      <c r="E27" s="46"/>
      <c r="F27" s="73">
        <f t="shared" si="3"/>
        <v>42.4480625</v>
      </c>
      <c r="G27" s="46">
        <f>20+(G5-1000)*1.5/100</f>
        <v>42.4480625</v>
      </c>
      <c r="H27" s="58"/>
      <c r="I27" s="47"/>
      <c r="J27" s="58"/>
      <c r="K27" s="72" t="s">
        <v>67</v>
      </c>
      <c r="L27" s="26">
        <v>42.4480625</v>
      </c>
      <c r="M27" s="65">
        <v>42.45</v>
      </c>
      <c r="N27" s="74"/>
      <c r="O27" s="75"/>
    </row>
    <row r="28" s="26" customFormat="1" ht="30" customHeight="1" spans="1:18">
      <c r="A28" s="58">
        <v>3</v>
      </c>
      <c r="B28" s="76" t="s">
        <v>68</v>
      </c>
      <c r="C28" s="46"/>
      <c r="D28" s="46"/>
      <c r="E28" s="46"/>
      <c r="F28" s="73">
        <f t="shared" si="3"/>
        <v>44.891492</v>
      </c>
      <c r="G28" s="46">
        <f>(30.1+(78.1-30.1)/2000*(G5-1000))*1*0.85*1*0.8</f>
        <v>44.891492</v>
      </c>
      <c r="H28" s="58"/>
      <c r="I28"/>
      <c r="J28" s="58"/>
      <c r="K28" s="58" t="s">
        <v>69</v>
      </c>
      <c r="L28" s="77">
        <v>44.891492</v>
      </c>
      <c r="M28" s="65">
        <v>44.89</v>
      </c>
      <c r="N28" s="48"/>
      <c r="O28" s="75"/>
    </row>
    <row r="29" s="26" customFormat="1" ht="30" customHeight="1" spans="1:18">
      <c r="A29" s="58">
        <v>4</v>
      </c>
      <c r="B29" s="58" t="s">
        <v>70</v>
      </c>
      <c r="C29" s="46"/>
      <c r="D29" s="46"/>
      <c r="E29" s="46"/>
      <c r="F29" s="73">
        <f t="shared" si="3"/>
        <v>5.80082535</v>
      </c>
      <c r="G29" s="46">
        <f>(5+(12-5)/2000*(G49-1000))*1.2*0.85*1*0.5+0.003</f>
        <v>5.80082535</v>
      </c>
      <c r="H29" s="58"/>
      <c r="I29" s="47"/>
      <c r="J29" s="58"/>
      <c r="K29" s="58" t="s">
        <v>71</v>
      </c>
      <c r="L29" s="65">
        <v>5.79782535</v>
      </c>
      <c r="M29" s="65">
        <v>5.8</v>
      </c>
      <c r="N29" s="48"/>
      <c r="O29" s="75"/>
    </row>
    <row r="30" s="26" customFormat="1" ht="30" customHeight="1" spans="1:18">
      <c r="A30" s="58">
        <v>5</v>
      </c>
      <c r="B30" s="58" t="s">
        <v>72</v>
      </c>
      <c r="C30" s="46"/>
      <c r="D30" s="46"/>
      <c r="E30" s="46"/>
      <c r="F30" s="73">
        <f t="shared" si="3"/>
        <v>57.227823296875</v>
      </c>
      <c r="G30" s="46">
        <f>(38.8+(103.8-38.8)/2000*(G5-1000))*1*0.85*1*1.1*0.7</f>
        <v>57.227823296875</v>
      </c>
      <c r="H30" s="58"/>
      <c r="I30" s="47"/>
      <c r="J30" s="58"/>
      <c r="K30" s="58" t="s">
        <v>73</v>
      </c>
      <c r="L30" s="77">
        <v>57.227823296875</v>
      </c>
      <c r="M30" s="65">
        <v>57.23</v>
      </c>
      <c r="N30" s="48"/>
      <c r="O30" s="75"/>
    </row>
    <row r="31" s="26" customFormat="1" ht="30" customHeight="1" spans="1:18">
      <c r="A31" s="58">
        <v>6</v>
      </c>
      <c r="B31" s="58" t="s">
        <v>74</v>
      </c>
      <c r="C31" s="46"/>
      <c r="D31" s="46"/>
      <c r="E31" s="46"/>
      <c r="F31" s="73">
        <f t="shared" si="3"/>
        <v>2.5</v>
      </c>
      <c r="G31" s="46">
        <v>2.5</v>
      </c>
      <c r="H31" s="58"/>
      <c r="I31" s="47"/>
      <c r="J31" s="58"/>
      <c r="K31" s="58" t="s">
        <v>75</v>
      </c>
      <c r="L31" s="65">
        <v>2.5</v>
      </c>
      <c r="M31" s="65">
        <v>2.5</v>
      </c>
      <c r="N31" s="48"/>
      <c r="O31" s="75"/>
    </row>
    <row r="32" s="26" customFormat="1" ht="30" customHeight="1" spans="1:18">
      <c r="A32" s="58">
        <v>7</v>
      </c>
      <c r="B32" s="58" t="s">
        <v>76</v>
      </c>
      <c r="C32" s="46"/>
      <c r="D32" s="46"/>
      <c r="E32" s="46"/>
      <c r="F32" s="73">
        <f t="shared" si="3"/>
        <v>4.18464501333333</v>
      </c>
      <c r="G32" s="46">
        <f>(5+(6-5)/3000*(G49-0))*1.1*0.8*0.8+0.003</f>
        <v>4.18464501333333</v>
      </c>
      <c r="H32" s="58"/>
      <c r="I32" s="47"/>
      <c r="J32" s="58"/>
      <c r="K32" s="58" t="s">
        <v>77</v>
      </c>
      <c r="L32" s="65">
        <v>4.18164501333333</v>
      </c>
      <c r="M32" s="65">
        <v>4.18</v>
      </c>
      <c r="N32" s="48"/>
      <c r="O32" s="75"/>
    </row>
    <row r="33" s="26" customFormat="1" ht="30" customHeight="1" spans="1:15">
      <c r="A33" s="58">
        <v>8</v>
      </c>
      <c r="B33" s="58" t="s">
        <v>78</v>
      </c>
      <c r="C33" s="46"/>
      <c r="D33" s="46"/>
      <c r="E33" s="46"/>
      <c r="F33" s="73">
        <f t="shared" si="3"/>
        <v>7.4896125</v>
      </c>
      <c r="G33" s="46">
        <f>G5*0.003</f>
        <v>7.4896125</v>
      </c>
      <c r="H33" s="58"/>
      <c r="I33" s="47"/>
      <c r="J33" s="58"/>
      <c r="K33" s="58" t="s">
        <v>79</v>
      </c>
      <c r="L33" s="77">
        <v>7.4896125</v>
      </c>
      <c r="M33" s="65">
        <v>7.49</v>
      </c>
      <c r="N33" s="48"/>
      <c r="O33" s="75"/>
    </row>
    <row r="34" s="26" customFormat="1" ht="30" customHeight="1" spans="1:15">
      <c r="A34" s="58">
        <v>9</v>
      </c>
      <c r="B34" s="58" t="s">
        <v>80</v>
      </c>
      <c r="C34" s="46"/>
      <c r="D34" s="46"/>
      <c r="E34" s="46"/>
      <c r="F34" s="73">
        <f t="shared" si="3"/>
        <v>11.78788125</v>
      </c>
      <c r="G34" s="46">
        <f>(100*1/100+400*0.7/100+500*0.55/100+(G5-1000)*0.35/100)</f>
        <v>11.78788125</v>
      </c>
      <c r="H34" s="58"/>
      <c r="I34" s="47"/>
      <c r="J34" s="58"/>
      <c r="K34" s="78" t="s">
        <v>81</v>
      </c>
      <c r="L34" s="65">
        <v>11.78788125</v>
      </c>
      <c r="M34" s="65">
        <v>11.79</v>
      </c>
      <c r="N34" s="48"/>
      <c r="O34" s="75"/>
    </row>
    <row r="35" s="26" customFormat="1" ht="30" customHeight="1" spans="1:15">
      <c r="A35" s="58">
        <v>10</v>
      </c>
      <c r="B35" s="58" t="s">
        <v>82</v>
      </c>
      <c r="C35" s="46"/>
      <c r="D35" s="46"/>
      <c r="E35" s="46"/>
      <c r="F35" s="73">
        <f t="shared" si="3"/>
        <v>24.965375</v>
      </c>
      <c r="G35" s="46">
        <f>G5*1/100</f>
        <v>24.965375</v>
      </c>
      <c r="H35" s="58"/>
      <c r="I35" s="47"/>
      <c r="J35" s="58"/>
      <c r="K35" s="78" t="s">
        <v>83</v>
      </c>
      <c r="L35" s="65">
        <v>24.965375</v>
      </c>
      <c r="M35" s="65">
        <v>24.97</v>
      </c>
      <c r="N35" s="48"/>
      <c r="O35" s="75"/>
    </row>
    <row r="36" s="26" customFormat="1" ht="30" customHeight="1" spans="1:15">
      <c r="A36" s="58">
        <v>11</v>
      </c>
      <c r="B36" s="58" t="s">
        <v>84</v>
      </c>
      <c r="C36" s="46"/>
      <c r="D36" s="46"/>
      <c r="E36" s="46"/>
      <c r="F36" s="73">
        <f t="shared" si="3"/>
        <v>2.56473</v>
      </c>
      <c r="G36" s="46">
        <f>100*1.7/1000+400*1.4/1000+500*1.1/1000+(G5-1000)*0.8/1000+G31*3.5/100</f>
        <v>2.56473</v>
      </c>
      <c r="H36" s="58"/>
      <c r="I36" s="47"/>
      <c r="J36" s="58"/>
      <c r="K36" s="58" t="s">
        <v>85</v>
      </c>
      <c r="L36" s="65">
        <v>2.56473</v>
      </c>
      <c r="M36" s="65">
        <v>2.56</v>
      </c>
      <c r="N36" s="48"/>
      <c r="O36" s="75"/>
    </row>
    <row r="37" s="26" customFormat="1" ht="30" customHeight="1" spans="1:15">
      <c r="A37" s="58">
        <v>12</v>
      </c>
      <c r="B37" s="58" t="s">
        <v>86</v>
      </c>
      <c r="C37" s="46"/>
      <c r="D37" s="46"/>
      <c r="E37" s="46"/>
      <c r="F37" s="73">
        <f t="shared" si="3"/>
        <v>9.4868425</v>
      </c>
      <c r="G37" s="46">
        <f>G5*3.8/1000</f>
        <v>9.4868425</v>
      </c>
      <c r="H37" s="58"/>
      <c r="I37" s="47"/>
      <c r="J37" s="58"/>
      <c r="K37" s="58" t="s">
        <v>87</v>
      </c>
      <c r="L37" s="65">
        <v>9.4868425</v>
      </c>
      <c r="M37" s="65">
        <v>9.49</v>
      </c>
      <c r="N37" s="48"/>
      <c r="O37" s="75"/>
    </row>
    <row r="38" s="26" customFormat="1" ht="30" customHeight="1" spans="1:15">
      <c r="A38" s="58">
        <v>13</v>
      </c>
      <c r="B38" s="58" t="s">
        <v>88</v>
      </c>
      <c r="C38" s="46"/>
      <c r="D38" s="46"/>
      <c r="E38" s="46"/>
      <c r="F38" s="73">
        <f t="shared" si="3"/>
        <v>1.4187795</v>
      </c>
      <c r="G38" s="46">
        <f>1000*0.6/1000+(G49-G26-1000)*0.45/1000</f>
        <v>1.4187795</v>
      </c>
      <c r="H38" s="58"/>
      <c r="I38" s="47"/>
      <c r="J38" s="58"/>
      <c r="K38" s="58" t="s">
        <v>89</v>
      </c>
      <c r="L38" s="65">
        <v>1.4187795</v>
      </c>
      <c r="M38" s="65">
        <v>1.42</v>
      </c>
      <c r="N38" s="48"/>
      <c r="O38" s="75"/>
    </row>
    <row r="39" s="24" customFormat="1" ht="30" customHeight="1" spans="1:15">
      <c r="A39" s="58">
        <v>14</v>
      </c>
      <c r="B39" s="79" t="s">
        <v>90</v>
      </c>
      <c r="C39" s="46"/>
      <c r="D39" s="46"/>
      <c r="E39" s="46"/>
      <c r="F39" s="73">
        <f t="shared" si="3"/>
        <v>12.4826875</v>
      </c>
      <c r="G39" s="46">
        <f>G5*0.5/100</f>
        <v>12.4826875</v>
      </c>
      <c r="H39" s="80"/>
      <c r="I39" s="81"/>
      <c r="J39" s="80"/>
      <c r="K39" s="58" t="s">
        <v>91</v>
      </c>
      <c r="L39" s="65">
        <v>12.4826875</v>
      </c>
      <c r="M39" s="24">
        <v>12.48</v>
      </c>
      <c r="N39" s="48"/>
    </row>
    <row r="40" s="26" customFormat="1" ht="30" customHeight="1" spans="1:15">
      <c r="A40" s="58">
        <v>15</v>
      </c>
      <c r="B40" s="79" t="s">
        <v>92</v>
      </c>
      <c r="C40" s="46"/>
      <c r="D40" s="46"/>
      <c r="E40" s="46"/>
      <c r="F40" s="73">
        <f t="shared" si="3"/>
        <v>3.6</v>
      </c>
      <c r="G40" s="46">
        <v>3.6</v>
      </c>
      <c r="H40" s="80"/>
      <c r="I40" s="82"/>
      <c r="J40" s="80"/>
      <c r="K40" s="58" t="s">
        <v>93</v>
      </c>
      <c r="L40" s="65">
        <v>3.6</v>
      </c>
      <c r="M40" s="65">
        <v>3.6</v>
      </c>
      <c r="N40" s="48"/>
      <c r="O40" s="75"/>
    </row>
    <row r="41" s="26" customFormat="1" ht="30" customHeight="1" spans="1:15">
      <c r="A41" s="58">
        <v>16</v>
      </c>
      <c r="B41" s="79" t="s">
        <v>94</v>
      </c>
      <c r="C41" s="46"/>
      <c r="D41" s="46"/>
      <c r="E41" s="46"/>
      <c r="F41" s="73">
        <f t="shared" si="3"/>
        <v>10</v>
      </c>
      <c r="G41" s="46">
        <v>10</v>
      </c>
      <c r="H41" s="80"/>
      <c r="I41" s="82"/>
      <c r="J41" s="80"/>
      <c r="K41" s="58" t="s">
        <v>95</v>
      </c>
      <c r="L41" s="65">
        <v>10</v>
      </c>
      <c r="M41" s="65">
        <v>10</v>
      </c>
      <c r="N41" s="48"/>
      <c r="O41" s="75"/>
    </row>
    <row r="42" s="27" customFormat="1" ht="30" customHeight="1" spans="1:15">
      <c r="A42" s="51" t="s">
        <v>96</v>
      </c>
      <c r="B42" s="51" t="s">
        <v>97</v>
      </c>
      <c r="C42" s="55"/>
      <c r="D42" s="55"/>
      <c r="E42" s="55"/>
      <c r="F42" s="55">
        <f t="shared" si="3"/>
        <v>82.1215876923063</v>
      </c>
      <c r="G42" s="55">
        <f>(G5+G25)*3%</f>
        <v>82.1215876923063</v>
      </c>
      <c r="H42" s="80" t="s">
        <v>98</v>
      </c>
      <c r="I42" s="58">
        <v>3</v>
      </c>
      <c r="J42" s="83"/>
      <c r="K42" s="84" t="s">
        <v>99</v>
      </c>
      <c r="L42" s="25">
        <v>82.1214076923063</v>
      </c>
      <c r="M42" s="25">
        <v>82.12</v>
      </c>
      <c r="N42" s="48"/>
      <c r="O42" s="69"/>
    </row>
    <row r="43" s="27" customFormat="1" ht="30" customHeight="1" spans="1:15">
      <c r="A43" s="51" t="s">
        <v>100</v>
      </c>
      <c r="B43" s="51" t="s">
        <v>101</v>
      </c>
      <c r="C43" s="55"/>
      <c r="D43" s="55"/>
      <c r="E43" s="55"/>
      <c r="F43" s="55"/>
      <c r="G43" s="55">
        <f>G5+G25+G42</f>
        <v>2819.50784410251</v>
      </c>
      <c r="H43" s="85"/>
      <c r="I43" s="55"/>
      <c r="J43" s="86"/>
      <c r="K43" s="51"/>
      <c r="L43" s="25">
        <f>L5+L25+L42</f>
        <v>2819.50416410251</v>
      </c>
      <c r="M43" s="25">
        <f>M5+M25+M42</f>
        <v>2819.51</v>
      </c>
      <c r="N43" s="48"/>
      <c r="O43" s="87"/>
    </row>
    <row r="44" s="26" customFormat="1" ht="30" customHeight="1" spans="1:15">
      <c r="A44" s="51" t="s">
        <v>102</v>
      </c>
      <c r="B44" s="51" t="s">
        <v>103</v>
      </c>
      <c r="C44" s="55"/>
      <c r="D44" s="55"/>
      <c r="E44" s="55"/>
      <c r="F44" s="55"/>
      <c r="G44" s="55">
        <f>SUM(G43:G43)</f>
        <v>2819.50784410251</v>
      </c>
      <c r="H44" s="85"/>
      <c r="I44" s="55"/>
      <c r="J44" s="88"/>
      <c r="K44" s="89"/>
      <c r="L44" s="65"/>
      <c r="M44" s="65"/>
      <c r="N44" s="48"/>
      <c r="O44" s="75"/>
    </row>
    <row r="46" ht="18" customHeight="1" spans="1:15">
      <c r="E46" s="90"/>
      <c r="F46" s="90"/>
      <c r="G46" s="91"/>
    </row>
    <row r="47" spans="1:15">
      <c r="E47" s="90"/>
      <c r="F47" s="90"/>
      <c r="G47" s="91"/>
    </row>
    <row r="48" spans="1:15">
      <c r="E48" s="90"/>
      <c r="F48" s="90"/>
      <c r="G48" s="91"/>
    </row>
    <row r="49" spans="5:7">
      <c r="E49" s="90"/>
      <c r="F49" s="90"/>
      <c r="G49" s="91">
        <v>2819.51</v>
      </c>
    </row>
  </sheetData>
  <mergeCells count="6">
    <mergeCell ref="A1:K1"/>
    <mergeCell ref="A2:J2"/>
    <mergeCell ref="C3:G3"/>
    <mergeCell ref="H3:J3"/>
    <mergeCell ref="A3:A4"/>
    <mergeCell ref="B3:B4"/>
  </mergeCells>
  <pageMargins left="0.472222222222222" right="0.708333333333333" top="0.196527777777778" bottom="0.196527777777778" header="0.550694444444444" footer="0.118055555555556"/>
  <pageSetup paperSize="9" scale="54" orientation="portrait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8" sqref="A18:A20"/>
    </sheetView>
  </sheetViews>
  <sheetFormatPr defaultColWidth="9" defaultRowHeight="14.25" outlineLevelCol="2"/>
  <cols>
    <col min="1" max="1" width="7.975" customWidth="1"/>
    <col min="2" max="2" width="23.8083333333333" style="5" customWidth="1"/>
    <col min="3" max="3" width="96.4666666666667" customWidth="1"/>
    <col min="5" max="5" width="12.625"/>
  </cols>
  <sheetData>
    <row r="1" s="1" customFormat="1" ht="32.25" customHeight="1" spans="1:3">
      <c r="A1" s="6" t="s">
        <v>104</v>
      </c>
      <c r="B1" s="7"/>
      <c r="C1" s="6"/>
    </row>
    <row r="2" s="2" customFormat="1" ht="26.5" customHeight="1" spans="1:3">
      <c r="A2" s="8" t="s">
        <v>105</v>
      </c>
      <c r="B2" s="9"/>
      <c r="C2" s="8"/>
    </row>
    <row r="3" ht="26" customHeight="1" spans="1:3">
      <c r="A3" s="10" t="s">
        <v>2</v>
      </c>
      <c r="B3" s="11" t="s">
        <v>3</v>
      </c>
      <c r="C3" s="10" t="s">
        <v>106</v>
      </c>
    </row>
    <row r="4" ht="24" customHeight="1" spans="1:3">
      <c r="A4" s="12" t="s">
        <v>62</v>
      </c>
      <c r="B4" s="12" t="s">
        <v>63</v>
      </c>
      <c r="C4" s="13"/>
    </row>
    <row r="5" ht="24" customHeight="1" spans="1:3">
      <c r="A5" s="14">
        <v>1</v>
      </c>
      <c r="B5" s="15" t="s">
        <v>64</v>
      </c>
      <c r="C5" s="16" t="s">
        <v>65</v>
      </c>
    </row>
    <row r="6" s="3" customFormat="1" ht="23" customHeight="1" spans="1:3">
      <c r="A6" s="14">
        <v>2</v>
      </c>
      <c r="B6" s="15" t="s">
        <v>66</v>
      </c>
      <c r="C6" s="16" t="s">
        <v>107</v>
      </c>
    </row>
    <row r="7" s="3" customFormat="1" ht="23" customHeight="1" spans="1:3">
      <c r="A7" s="14">
        <v>3</v>
      </c>
      <c r="B7" s="17" t="s">
        <v>68</v>
      </c>
      <c r="C7" s="16" t="s">
        <v>108</v>
      </c>
    </row>
    <row r="8" s="3" customFormat="1" ht="23" customHeight="1" spans="1:3">
      <c r="A8" s="14">
        <v>4</v>
      </c>
      <c r="B8" s="11" t="s">
        <v>70</v>
      </c>
      <c r="C8" s="16" t="s">
        <v>109</v>
      </c>
    </row>
    <row r="9" s="3" customFormat="1" ht="23" customHeight="1" spans="1:3">
      <c r="A9" s="14">
        <v>5</v>
      </c>
      <c r="B9" s="11" t="s">
        <v>72</v>
      </c>
      <c r="C9" s="16" t="s">
        <v>110</v>
      </c>
    </row>
    <row r="10" s="3" customFormat="1" ht="23" customHeight="1" spans="1:3">
      <c r="A10" s="14">
        <v>6</v>
      </c>
      <c r="B10" s="11" t="s">
        <v>74</v>
      </c>
      <c r="C10" s="16" t="s">
        <v>75</v>
      </c>
    </row>
    <row r="11" s="3" customFormat="1" ht="23" customHeight="1" spans="1:3">
      <c r="A11" s="14">
        <v>7</v>
      </c>
      <c r="B11" s="11" t="s">
        <v>76</v>
      </c>
      <c r="C11" s="16" t="s">
        <v>111</v>
      </c>
    </row>
    <row r="12" s="4" customFormat="1" ht="23" customHeight="1" spans="1:3">
      <c r="A12" s="14">
        <v>8</v>
      </c>
      <c r="B12" s="11" t="s">
        <v>78</v>
      </c>
      <c r="C12" s="16" t="s">
        <v>112</v>
      </c>
    </row>
    <row r="13" s="4" customFormat="1" ht="23" customHeight="1" spans="1:3">
      <c r="A13" s="14">
        <v>9</v>
      </c>
      <c r="B13" s="11" t="s">
        <v>80</v>
      </c>
      <c r="C13" s="16" t="s">
        <v>113</v>
      </c>
    </row>
    <row r="14" s="3" customFormat="1" ht="23" customHeight="1" spans="1:3">
      <c r="A14" s="14">
        <v>10</v>
      </c>
      <c r="B14" s="11" t="s">
        <v>82</v>
      </c>
      <c r="C14" s="16" t="s">
        <v>114</v>
      </c>
    </row>
    <row r="15" s="4" customFormat="1" ht="23" customHeight="1" spans="1:3">
      <c r="A15" s="14">
        <v>11</v>
      </c>
      <c r="B15" s="11" t="s">
        <v>84</v>
      </c>
      <c r="C15" s="16" t="s">
        <v>115</v>
      </c>
    </row>
    <row r="16" s="4" customFormat="1" ht="23" customHeight="1" spans="1:3">
      <c r="A16" s="14">
        <v>12</v>
      </c>
      <c r="B16" s="11" t="s">
        <v>86</v>
      </c>
      <c r="C16" s="16" t="s">
        <v>116</v>
      </c>
    </row>
    <row r="17" s="4" customFormat="1" ht="27" customHeight="1" spans="1:3">
      <c r="A17" s="14">
        <v>13</v>
      </c>
      <c r="B17" s="11" t="s">
        <v>88</v>
      </c>
      <c r="C17" s="18" t="s">
        <v>89</v>
      </c>
    </row>
    <row r="18" s="4" customFormat="1" ht="23" customHeight="1" spans="1:3">
      <c r="A18" s="14">
        <v>14</v>
      </c>
      <c r="B18" s="19" t="s">
        <v>90</v>
      </c>
      <c r="C18" s="16" t="s">
        <v>117</v>
      </c>
    </row>
    <row r="19" s="4" customFormat="1" ht="23" customHeight="1" spans="1:3">
      <c r="A19" s="14">
        <v>15</v>
      </c>
      <c r="B19" s="11" t="s">
        <v>92</v>
      </c>
      <c r="C19" s="16" t="s">
        <v>93</v>
      </c>
    </row>
    <row r="20" s="4" customFormat="1" ht="23" customHeight="1" spans="1:3">
      <c r="A20" s="14">
        <v>16</v>
      </c>
      <c r="B20" s="19" t="s">
        <v>94</v>
      </c>
      <c r="C20" s="20" t="s">
        <v>95</v>
      </c>
    </row>
    <row r="21" ht="23" customHeight="1"/>
  </sheetData>
  <mergeCells count="2">
    <mergeCell ref="A1:C1"/>
    <mergeCell ref="A2:C2"/>
  </mergeCells>
  <pageMargins left="0.747916666666667" right="0.35" top="0.393055555555556" bottom="0.590277777777778" header="0.236111111111111" footer="0.5"/>
  <pageSetup paperSize="9" scale="94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YSSTJO</vt:lpstr>
      <vt:lpstr>总概算表</vt:lpstr>
      <vt:lpstr>其他工程费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刹华</cp:lastModifiedBy>
  <cp:revision>1</cp:revision>
  <dcterms:created xsi:type="dcterms:W3CDTF">1996-12-17T01:32:42Z</dcterms:created>
  <cp:lastPrinted>2013-08-27T05:24:44Z</cp:lastPrinted>
  <dcterms:modified xsi:type="dcterms:W3CDTF">2026-09-23T01:00:03Z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1C7EF7787272416DA3129581C8C051AF_13</vt:lpwstr>
  </property>
  <property fmtid="{D5CDD505-2E9C-101B-9397-08002B2CF9AE}" pid="4" name="CalculationRule">
    <vt:i4>0</vt:i4>
  </property>
</Properties>
</file>