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存档\拟文\"/>
    </mc:Choice>
  </mc:AlternateContent>
  <bookViews>
    <workbookView windowWidth="20625" windowHeight="13200" activeTab="1"/>
  </bookViews>
  <sheets>
    <sheet name="概算书" sheetId="1" r:id="rId1"/>
    <sheet name="概算汇总表" sheetId="9" r:id="rId2"/>
    <sheet name="表2工程项目造价汇总表" sheetId="2" r:id="rId3"/>
    <sheet name="表3单项工程造价汇总表" sheetId="3" r:id="rId4"/>
    <sheet name="表4单位工程造价汇总表" sheetId="4" r:id="rId5"/>
    <sheet name="表5分部分项工程量清单与计价表" sheetId="5" r:id="rId6"/>
    <sheet name="表6总价措施项目清单与计价表" sheetId="6" r:id="rId7"/>
    <sheet name="表7单价措施项目清单与计价表" sheetId="7" r:id="rId8"/>
    <sheet name="表14人工、材料设备、机械汇总表" sheetId="8" r:id="rId9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3t单筒卷扬机">[4]机械!#REF!</definedName>
    <definedName name="_5">#REF!</definedName>
    <definedName name="_6">#REF!</definedName>
    <definedName name="a">a</definedName>
    <definedName name="aa">aa</definedName>
    <definedName name="AAA">#REF!</definedName>
    <definedName name="Ami">[6]sis.xlm!$H$1</definedName>
    <definedName name="as">as</definedName>
    <definedName name="asd">asd</definedName>
    <definedName name="b">b</definedName>
    <definedName name="B2GS">#REF!</definedName>
    <definedName name="bb">bb</definedName>
    <definedName name="bbbbbb">bbbbbb</definedName>
    <definedName name="cc">cc</definedName>
    <definedName name="ccc">ccc</definedName>
    <definedName name="cccc">cccc</definedName>
    <definedName name="ccccc">ccccc</definedName>
    <definedName name="ccccccc">ccccccc</definedName>
    <definedName name="dd">dd</definedName>
    <definedName name="ddd">ddd</definedName>
    <definedName name="exit">[2]sis.xlm!$B$1</definedName>
    <definedName name="FIRST">#REF!</definedName>
    <definedName name="_flh1">#REF!</definedName>
    <definedName name="gh">gh</definedName>
    <definedName name="ghh">ghh</definedName>
    <definedName name="GYZB">#REF!</definedName>
    <definedName name="hh">hh</definedName>
    <definedName name="hj">hj</definedName>
    <definedName name="io">io</definedName>
    <definedName name="jk">jk</definedName>
    <definedName name="jkl">jkl</definedName>
    <definedName name="_JM4">'[7]C'!$E$129:$E$142</definedName>
    <definedName name="_____JM5">'[7]C'!$E$143:$E$156</definedName>
    <definedName name="_JM6">'[7]C'!$E$157:$E$170</definedName>
    <definedName name="_JM7">'[7]C'!$E$171:$E$184</definedName>
    <definedName name="liu">liu</definedName>
    <definedName name="lui">lui</definedName>
    <definedName name="Macro1">[2]sis.xlm!$V$25</definedName>
    <definedName name="Macro3">[2]sis.xlm!$H$1</definedName>
    <definedName name="pi">[3]sheet1!$G$1</definedName>
    <definedName name="poio">poio</definedName>
    <definedName name="_xlnm.Print_Area" localSheetId="1">概算汇总表!$A$1:$N$57</definedName>
    <definedName name="_xlnm.Print_Titles" localSheetId="1">概算汇总表!$1:$5</definedName>
    <definedName name="q">q</definedName>
    <definedName name="Recorder" hidden="1">[2]sis.xlm!$E$15:$E$16384</definedName>
    <definedName name="REGRESS_DATA">[1]REGRESS!$O$5:$P$9</definedName>
    <definedName name="s">s</definedName>
    <definedName name="_slb1">#REF!</definedName>
    <definedName name="_TNC1">'[7]C'!$F$129:$R$142</definedName>
    <definedName name="_TNC2">'[7]C'!$F$157:$R$170</definedName>
    <definedName name="_TNS1">'[7]C'!$F$143:$R$156</definedName>
    <definedName name="_TNS2">'[7]C'!$F$171:$R$184</definedName>
    <definedName name="x">x</definedName>
    <definedName name="_XH1">'[7]C'!$F$20:$R$20</definedName>
    <definedName name="_XH2">'[7]C'!$F$128:$R$128</definedName>
    <definedName name="XLRPARAMS_GCMC" hidden="1">[8]XLR_NoRangeSheet!$B$6</definedName>
    <definedName name="XLRPARAMS_ZYMC" hidden="1">[8]XLR_NoRangeSheet!$C$6</definedName>
    <definedName name="xx">xx</definedName>
    <definedName name="_xx3">_xx3</definedName>
    <definedName name="yuo">yuo</definedName>
    <definedName name="z">z</definedName>
    <definedName name="zb">zb</definedName>
    <definedName name="zq">[9]总表!$D$44</definedName>
    <definedName name="zx">zx</definedName>
    <definedName name="zz">zz</definedName>
    <definedName name="拌和机0.4立方米">[4]机械!#REF!</definedName>
    <definedName name="插入式震捣器2.2kw">[4]机械!#REF!</definedName>
    <definedName name="池">池</definedName>
    <definedName name="池池">池池</definedName>
    <definedName name="池池池">池池池</definedName>
    <definedName name="答">[10]sis.xlm!$B$1</definedName>
    <definedName name="单斗挖掘机0.6立方米">[4]机械!#REF!</definedName>
    <definedName name="单级离心水泵1.1_7kw">[4]机械!#REF!</definedName>
    <definedName name="导杆式柴油打桩机1.8t">[4]机械!#REF!</definedName>
    <definedName name="电焊交流机25_50">[4]机械!#REF!</definedName>
    <definedName name="电缆">#REF!</definedName>
    <definedName name="定">[11]sis.xlm!$H$1</definedName>
    <definedName name="斗车0.6立方米">[4]机械!#REF!</definedName>
    <definedName name="对焊机150">[4]机械!#REF!</definedName>
    <definedName name="二">二</definedName>
    <definedName name="二泵设备底稿">二泵设备底稿</definedName>
    <definedName name="二号泵站机械设备">#REF!</definedName>
    <definedName name="风水枪">[4]机械!#REF!</definedName>
    <definedName name="钢筋切断机">[4]机械!#REF!</definedName>
    <definedName name="钢筋调直机">[4]机械!#REF!</definedName>
    <definedName name="钢筋弯曲机">[4]机械!#REF!</definedName>
    <definedName name="沪南路机械设备">#REF!</definedName>
    <definedName name="建築">[12]sheet1!$G$1</definedName>
    <definedName name="交通1">#REF!</definedName>
    <definedName name="阶段">#REF!</definedName>
    <definedName name="空压机9立方米">[4]机械!#REF!</definedName>
    <definedName name="龙东路机械设备">#REF!</definedName>
    <definedName name="皮带输送机15米">[4]机械!#REF!</definedName>
    <definedName name="起">起</definedName>
    <definedName name="汽车起重机16t">[4]机械!#REF!</definedName>
    <definedName name="汽车起重机5t">[4]机械!#REF!</definedName>
    <definedName name="汽车起重机8t">[4]机械!#REF!</definedName>
    <definedName name="潜水泵2.2kw">[4]机械!#REF!</definedName>
    <definedName name="清">清</definedName>
    <definedName name="清水池管配件">清水池管配件</definedName>
    <definedName name="清水池进口">清水池进口</definedName>
    <definedName name="热敏脱扣">#REF!</definedName>
    <definedName name="人工工资2">[5]材料单价!$B$3</definedName>
    <definedName name="三号泵站机械设备">#REF!</definedName>
    <definedName name="市场价">市场价</definedName>
    <definedName name="数据查询">数据查询</definedName>
    <definedName name="数据库管理">数据库管理</definedName>
    <definedName name="双胶轮车">[4]机械!#REF!</definedName>
    <definedName name="水力冲挖机组4pl_250">[4]机械!#REF!</definedName>
    <definedName name="土方工程">土方工程</definedName>
    <definedName name="推土机88kw">[4]机械!#REF!</definedName>
    <definedName name="洗石机">[4]机械!#REF!</definedName>
    <definedName name="新表">[10]sis.xlm!$E$15:$E$16384</definedName>
    <definedName name="新山村">新山村</definedName>
    <definedName name="型号">#REF!</definedName>
    <definedName name="一">一</definedName>
    <definedName name="一号泵站机械设备">#REF!</definedName>
    <definedName name="有机肥生产车间">有机肥生产车间</definedName>
    <definedName name="圆形构筑物">圆形构筑物</definedName>
    <definedName name="载重汽车10t">[4]机械!#REF!</definedName>
    <definedName name="载重汽车5t">[4]机械!#REF!</definedName>
    <definedName name="中">中</definedName>
    <definedName name="朱冰">朱冰</definedName>
    <definedName name="装载机1.5立方米">[4]机械!#REF!</definedName>
    <definedName name="自卸汽车5_t">[4]机械!#REF!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<sst xmlns="http://schemas.openxmlformats.org/spreadsheetml/2006/main" count="1618" uniqueCount="879">
  <si>
    <t>工程概算书</t>
  </si>
  <si>
    <t>建设单位：</t>
  </si>
  <si>
    <t>闽清县云龙乡际下村民委员会</t>
  </si>
  <si>
    <t>工程名称：</t>
  </si>
  <si>
    <t>云龙乡际下村人行栈道建设工程</t>
  </si>
  <si>
    <t>工程编号：</t>
  </si>
  <si>
    <t/>
  </si>
  <si>
    <t>建筑面积：</t>
  </si>
  <si>
    <t>平方米</t>
  </si>
  <si>
    <t>工程造价：</t>
  </si>
  <si>
    <t>元</t>
  </si>
  <si>
    <t>经济指标：</t>
  </si>
  <si>
    <t>元/平方米</t>
  </si>
  <si>
    <t>编 制 人：</t>
  </si>
  <si>
    <t>编制人证书编号：</t>
  </si>
  <si>
    <t>审 核 人：</t>
  </si>
  <si>
    <t>审核人证书编号：</t>
  </si>
  <si>
    <t>编制单位：</t>
  </si>
  <si>
    <t>编制日期：</t>
  </si>
  <si>
    <t>2025年03月30日</t>
  </si>
  <si>
    <t>工程总概算表</t>
  </si>
  <si>
    <t>工程名称：云龙乡际下村人行栈道建设工程</t>
  </si>
  <si>
    <t>项</t>
  </si>
  <si>
    <t>目</t>
  </si>
  <si>
    <t>节</t>
  </si>
  <si>
    <t>序号</t>
  </si>
  <si>
    <r>
      <rPr>
        <sz val="12"/>
        <rFont val="宋体"/>
        <charset val="134"/>
      </rPr>
      <t>工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程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或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费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目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名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称</t>
    </r>
  </si>
  <si>
    <t>概算金额（元）</t>
  </si>
  <si>
    <r>
      <rPr>
        <sz val="12"/>
        <rFont val="宋体"/>
        <charset val="134"/>
      </rPr>
      <t>技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术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经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济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指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标</t>
    </r>
  </si>
  <si>
    <r>
      <rPr>
        <sz val="12"/>
        <rFont val="宋体"/>
        <charset val="134"/>
      </rPr>
      <t>备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注</t>
    </r>
  </si>
  <si>
    <t>建筑工程</t>
  </si>
  <si>
    <t>安装工程</t>
  </si>
  <si>
    <t>设备及工器具购置</t>
  </si>
  <si>
    <t>其他费用</t>
  </si>
  <si>
    <r>
      <rPr>
        <sz val="12"/>
        <rFont val="宋体"/>
        <charset val="134"/>
      </rPr>
      <t>合</t>
    </r>
    <r>
      <rPr>
        <sz val="12"/>
        <rFont val="Times New Roman"/>
        <charset val="0"/>
      </rPr>
      <t xml:space="preserve">   </t>
    </r>
    <r>
      <rPr>
        <sz val="12"/>
        <rFont val="宋体"/>
        <charset val="134"/>
      </rPr>
      <t>计</t>
    </r>
  </si>
  <si>
    <r>
      <rPr>
        <sz val="12"/>
        <rFont val="宋体"/>
        <charset val="134"/>
      </rPr>
      <t>单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位</t>
    </r>
  </si>
  <si>
    <r>
      <rPr>
        <sz val="12"/>
        <rFont val="宋体"/>
        <charset val="134"/>
      </rPr>
      <t>数</t>
    </r>
    <r>
      <rPr>
        <sz val="12"/>
        <rFont val="Times New Roman"/>
        <charset val="0"/>
      </rPr>
      <t xml:space="preserve">  </t>
    </r>
    <r>
      <rPr>
        <sz val="12"/>
        <rFont val="宋体"/>
        <charset val="134"/>
      </rPr>
      <t>量</t>
    </r>
  </si>
  <si>
    <r>
      <rPr>
        <sz val="12"/>
        <rFont val="宋体"/>
        <charset val="134"/>
      </rPr>
      <t>单位价格</t>
    </r>
    <r>
      <rPr>
        <sz val="12"/>
        <rFont val="Times New Roman"/>
        <charset val="0"/>
      </rPr>
      <t xml:space="preserve">    </t>
    </r>
    <r>
      <rPr>
        <sz val="12"/>
        <rFont val="宋体"/>
        <charset val="134"/>
      </rPr>
      <t>（元）</t>
    </r>
  </si>
  <si>
    <t>一</t>
  </si>
  <si>
    <t>建筑安装工程费</t>
  </si>
  <si>
    <t>（一）</t>
  </si>
  <si>
    <t>市政工程</t>
  </si>
  <si>
    <t>拆除工程</t>
  </si>
  <si>
    <t>m3</t>
  </si>
  <si>
    <t>1-1</t>
  </si>
  <si>
    <t>拆除原有混凝土护栏</t>
  </si>
  <si>
    <t>1-2</t>
  </si>
  <si>
    <t>拆除砖砌养殖棚</t>
  </si>
  <si>
    <t>1-3</t>
  </si>
  <si>
    <t>废料外弃</t>
  </si>
  <si>
    <t>通用项目</t>
  </si>
  <si>
    <t>2-1</t>
  </si>
  <si>
    <t>M10浆砌整条石阶梯</t>
  </si>
  <si>
    <t>2-2</t>
  </si>
  <si>
    <t>石桌石凳</t>
  </si>
  <si>
    <t>2-3</t>
  </si>
  <si>
    <t>2-4</t>
  </si>
  <si>
    <t>成品仿木色镀锌方管栏</t>
  </si>
  <si>
    <t>2-5</t>
  </si>
  <si>
    <t>景观照明灯</t>
  </si>
  <si>
    <t>挡墙防护</t>
  </si>
  <si>
    <t>3-1</t>
  </si>
  <si>
    <t>C20混凝土基础</t>
  </si>
  <si>
    <t>3-2</t>
  </si>
  <si>
    <t>C25混凝土挡土墙</t>
  </si>
  <si>
    <t>3-3</t>
  </si>
  <si>
    <t>φ25mmPVC泄水管</t>
  </si>
  <si>
    <t>3-4</t>
  </si>
  <si>
    <t>砂石反滤层</t>
  </si>
  <si>
    <t>3-5</t>
  </si>
  <si>
    <t>土工布600g/m2外包</t>
  </si>
  <si>
    <t>道路工程</t>
  </si>
  <si>
    <t>4-1</t>
  </si>
  <si>
    <t>30厚火烧板</t>
  </si>
  <si>
    <t>4-2</t>
  </si>
  <si>
    <t>300x1200x30mm火烧板汀石</t>
  </si>
  <si>
    <t>4-3</t>
  </si>
  <si>
    <t>芝麻灰烧面路沿石</t>
  </si>
  <si>
    <t>4-4</t>
  </si>
  <si>
    <t>5mm陶瓷颗粒</t>
  </si>
  <si>
    <t>4-5</t>
  </si>
  <si>
    <t>5cmC40防水混凝土</t>
  </si>
  <si>
    <t>4-6</t>
  </si>
  <si>
    <t>1.5mm厚聚氨酯防水层(两道)</t>
  </si>
  <si>
    <t>4-7</t>
  </si>
  <si>
    <t>花纹钢板</t>
  </si>
  <si>
    <t>4-8</t>
  </si>
  <si>
    <t>钢支撑</t>
  </si>
  <si>
    <t>4-9</t>
  </si>
  <si>
    <t>4φ18热轧带肋钢筋</t>
  </si>
  <si>
    <t>4-10</t>
  </si>
  <si>
    <t>20厚钢垫板</t>
  </si>
  <si>
    <t>4-11</t>
  </si>
  <si>
    <t>C25混凝土满包</t>
  </si>
  <si>
    <t>措施项目费</t>
  </si>
  <si>
    <t>（二）</t>
  </si>
  <si>
    <t>园林工程</t>
  </si>
  <si>
    <t>园林种植</t>
  </si>
  <si>
    <t>m2</t>
  </si>
  <si>
    <t>土方填平夯实</t>
  </si>
  <si>
    <t>山茶花球</t>
  </si>
  <si>
    <t>兰引7号</t>
  </si>
  <si>
    <t>二</t>
  </si>
  <si>
    <t>工程建设其他费用</t>
  </si>
  <si>
    <t>场地准备及临时设施费</t>
  </si>
  <si>
    <r>
      <rPr>
        <sz val="12"/>
        <rFont val="宋体"/>
        <charset val="134"/>
      </rPr>
      <t>《福建省工程概算编制办法</t>
    </r>
    <r>
      <rPr>
        <sz val="12"/>
        <rFont val="Times New Roman"/>
        <charset val="0"/>
      </rPr>
      <t xml:space="preserve"> (2023 </t>
    </r>
    <r>
      <rPr>
        <sz val="12"/>
        <rFont val="宋体"/>
        <charset val="134"/>
      </rPr>
      <t>版</t>
    </r>
    <r>
      <rPr>
        <sz val="12"/>
        <rFont val="Times New Roman"/>
        <charset val="0"/>
      </rPr>
      <t>)</t>
    </r>
    <r>
      <rPr>
        <sz val="12"/>
        <rFont val="宋体"/>
        <charset val="134"/>
      </rPr>
      <t>》</t>
    </r>
  </si>
  <si>
    <t>设计费</t>
  </si>
  <si>
    <t>按建安费的5.0%</t>
  </si>
  <si>
    <t>（三）</t>
  </si>
  <si>
    <t>预算编制费</t>
  </si>
  <si>
    <t>闽招协〔2021〕32号文</t>
  </si>
  <si>
    <t>（四）</t>
  </si>
  <si>
    <t>预算审核费</t>
  </si>
  <si>
    <t>（五）</t>
  </si>
  <si>
    <t>结算审核费</t>
  </si>
  <si>
    <t>（六）</t>
  </si>
  <si>
    <t>建设工程监理费</t>
  </si>
  <si>
    <t>发改价格〔2007〕670号文</t>
  </si>
  <si>
    <t>（七）</t>
  </si>
  <si>
    <t>工程保险费</t>
  </si>
  <si>
    <t>闽建〔2025〕10 号</t>
  </si>
  <si>
    <t>（八）</t>
  </si>
  <si>
    <t>招标代理服务费</t>
  </si>
  <si>
    <t>（九）</t>
  </si>
  <si>
    <t>建设单位管理费</t>
  </si>
  <si>
    <t>财建〔2016〕504号文</t>
  </si>
  <si>
    <t>（十）</t>
  </si>
  <si>
    <t>施工图审查费</t>
  </si>
  <si>
    <t>闽价服〔2012〕237号</t>
  </si>
  <si>
    <t>三</t>
  </si>
  <si>
    <t>预备费</t>
  </si>
  <si>
    <t>基本预备费</t>
  </si>
  <si>
    <r>
      <rPr>
        <sz val="12"/>
        <rFont val="宋体"/>
        <charset val="134"/>
      </rPr>
      <t>第一、二部分×5</t>
    </r>
    <r>
      <rPr>
        <sz val="12"/>
        <rFont val="Times New Roman"/>
        <charset val="134"/>
      </rPr>
      <t>%</t>
    </r>
  </si>
  <si>
    <t>四</t>
  </si>
  <si>
    <t>工程总投资</t>
  </si>
  <si>
    <t>考虑25%自有资金</t>
  </si>
  <si>
    <t>年度</t>
  </si>
  <si>
    <t>项目</t>
  </si>
  <si>
    <t>合计</t>
  </si>
  <si>
    <t>分年度比例</t>
  </si>
  <si>
    <t>年初本息和</t>
  </si>
  <si>
    <t>本年贷款</t>
  </si>
  <si>
    <t>本年利息</t>
  </si>
  <si>
    <t>年末本息和</t>
  </si>
  <si>
    <t>前期工作费</t>
  </si>
  <si>
    <t>投资估算额</t>
  </si>
  <si>
    <r>
      <rPr>
        <sz val="12"/>
        <rFont val="Times New Roman"/>
        <charset val="0"/>
      </rPr>
      <t>3000</t>
    </r>
    <r>
      <rPr>
        <sz val="11"/>
        <rFont val="宋体"/>
        <charset val="134"/>
      </rPr>
      <t>万元</t>
    </r>
    <r>
      <rPr>
        <sz val="12"/>
        <rFont val="Times New Roman"/>
        <charset val="0"/>
      </rPr>
      <t>~1</t>
    </r>
    <r>
      <rPr>
        <sz val="11"/>
        <rFont val="宋体"/>
        <charset val="134"/>
      </rPr>
      <t>亿万元</t>
    </r>
  </si>
  <si>
    <r>
      <rPr>
        <sz val="12"/>
        <rFont val="Times New Roman"/>
        <charset val="0"/>
      </rPr>
      <t>1</t>
    </r>
    <r>
      <rPr>
        <sz val="11"/>
        <rFont val="宋体"/>
        <charset val="134"/>
      </rPr>
      <t>亿元</t>
    </r>
    <r>
      <rPr>
        <sz val="12"/>
        <rFont val="Times New Roman"/>
        <charset val="0"/>
      </rPr>
      <t>~5</t>
    </r>
    <r>
      <rPr>
        <sz val="11"/>
        <rFont val="宋体"/>
        <charset val="134"/>
      </rPr>
      <t>亿元</t>
    </r>
  </si>
  <si>
    <r>
      <rPr>
        <sz val="12"/>
        <rFont val="Times New Roman"/>
        <charset val="0"/>
      </rPr>
      <t>5</t>
    </r>
    <r>
      <rPr>
        <sz val="11"/>
        <rFont val="宋体"/>
        <charset val="134"/>
      </rPr>
      <t>亿元</t>
    </r>
    <r>
      <rPr>
        <sz val="12"/>
        <rFont val="Times New Roman"/>
        <charset val="0"/>
      </rPr>
      <t>~10</t>
    </r>
    <r>
      <rPr>
        <sz val="11"/>
        <rFont val="宋体"/>
        <charset val="134"/>
      </rPr>
      <t>亿元</t>
    </r>
  </si>
  <si>
    <r>
      <rPr>
        <sz val="12"/>
        <rFont val="Times New Roman"/>
        <charset val="0"/>
      </rPr>
      <t>10</t>
    </r>
    <r>
      <rPr>
        <sz val="11"/>
        <rFont val="宋体"/>
        <charset val="134"/>
      </rPr>
      <t>亿元</t>
    </r>
    <r>
      <rPr>
        <sz val="12"/>
        <rFont val="Times New Roman"/>
        <charset val="0"/>
      </rPr>
      <t>~50</t>
    </r>
    <r>
      <rPr>
        <sz val="11"/>
        <rFont val="宋体"/>
        <charset val="134"/>
      </rPr>
      <t>亿元</t>
    </r>
  </si>
  <si>
    <r>
      <rPr>
        <sz val="12"/>
        <rFont val="Times New Roman"/>
        <charset val="0"/>
      </rPr>
      <t>50</t>
    </r>
    <r>
      <rPr>
        <sz val="11"/>
        <rFont val="宋体"/>
        <charset val="134"/>
      </rPr>
      <t>亿元以上</t>
    </r>
  </si>
  <si>
    <t>K-1+920~K2+840</t>
  </si>
  <si>
    <t>实际估算额</t>
  </si>
  <si>
    <t>编制项建书</t>
  </si>
  <si>
    <t>6~14</t>
  </si>
  <si>
    <t>14~37</t>
  </si>
  <si>
    <t>37~55</t>
  </si>
  <si>
    <t>55~100</t>
  </si>
  <si>
    <t>100~125</t>
  </si>
  <si>
    <t>机动车道</t>
  </si>
  <si>
    <t>辅路路面结构按主路考虑</t>
  </si>
  <si>
    <r>
      <rPr>
        <sz val="10.5"/>
        <rFont val="Calibri"/>
        <charset val="0"/>
      </rPr>
      <t>4cm</t>
    </r>
    <r>
      <rPr>
        <sz val="10.5"/>
        <rFont val="宋体"/>
        <charset val="134"/>
      </rPr>
      <t>细粒式沥青砼</t>
    </r>
  </si>
  <si>
    <t>非机动车道路面结构</t>
  </si>
  <si>
    <t>编制可研报告</t>
  </si>
  <si>
    <t>12~28</t>
  </si>
  <si>
    <t>28~75</t>
  </si>
  <si>
    <t>75~110</t>
  </si>
  <si>
    <t>110~200</t>
  </si>
  <si>
    <t>200~250</t>
  </si>
  <si>
    <r>
      <rPr>
        <sz val="10.5"/>
        <rFont val="Calibri"/>
        <charset val="0"/>
      </rPr>
      <t>6cm</t>
    </r>
    <r>
      <rPr>
        <sz val="10.5"/>
        <rFont val="宋体"/>
        <charset val="134"/>
      </rPr>
      <t>中粒式沥青砼</t>
    </r>
  </si>
  <si>
    <r>
      <rPr>
        <sz val="10.5"/>
        <rFont val="Calibri"/>
        <charset val="0"/>
      </rPr>
      <t xml:space="preserve">4cm </t>
    </r>
    <r>
      <rPr>
        <sz val="10.5"/>
        <rFont val="宋体"/>
        <charset val="134"/>
      </rPr>
      <t>细粒式沥青混凝土</t>
    </r>
  </si>
  <si>
    <r>
      <rPr>
        <sz val="10.5"/>
        <rFont val="Calibri"/>
        <charset val="0"/>
      </rPr>
      <t>8cm</t>
    </r>
    <r>
      <rPr>
        <sz val="10.5"/>
        <rFont val="宋体"/>
        <charset val="134"/>
      </rPr>
      <t>粗粒式沥青砼</t>
    </r>
  </si>
  <si>
    <r>
      <rPr>
        <sz val="10.5"/>
        <rFont val="Calibri"/>
        <charset val="0"/>
      </rPr>
      <t xml:space="preserve">8cm </t>
    </r>
    <r>
      <rPr>
        <sz val="10.5"/>
        <rFont val="宋体"/>
        <charset val="134"/>
      </rPr>
      <t>粗粒式沥青混凝土</t>
    </r>
  </si>
  <si>
    <t>评估项建书</t>
  </si>
  <si>
    <t>4~8</t>
  </si>
  <si>
    <t>8~12</t>
  </si>
  <si>
    <t>12~15</t>
  </si>
  <si>
    <t>15~17</t>
  </si>
  <si>
    <t>17~20</t>
  </si>
  <si>
    <r>
      <rPr>
        <sz val="10.5"/>
        <rFont val="Calibri"/>
        <charset val="0"/>
      </rPr>
      <t>20cm</t>
    </r>
    <r>
      <rPr>
        <sz val="10.5"/>
        <rFont val="宋体"/>
        <charset val="134"/>
      </rPr>
      <t>水稳碎石</t>
    </r>
  </si>
  <si>
    <r>
      <rPr>
        <sz val="10.5"/>
        <rFont val="Calibri"/>
        <charset val="0"/>
      </rPr>
      <t xml:space="preserve">0.6cm </t>
    </r>
    <r>
      <rPr>
        <sz val="10.5"/>
        <rFont val="宋体"/>
        <charset val="134"/>
      </rPr>
      <t>乳化沥青封层</t>
    </r>
  </si>
  <si>
    <r>
      <rPr>
        <sz val="10.5"/>
        <rFont val="Calibri"/>
        <charset val="0"/>
      </rPr>
      <t>15cm</t>
    </r>
    <r>
      <rPr>
        <sz val="10.5"/>
        <rFont val="宋体"/>
        <charset val="134"/>
      </rPr>
      <t>水稳碎石</t>
    </r>
  </si>
  <si>
    <r>
      <rPr>
        <sz val="10.5"/>
        <rFont val="Calibri"/>
        <charset val="0"/>
      </rPr>
      <t>15cm 5%</t>
    </r>
    <r>
      <rPr>
        <sz val="10.5"/>
        <rFont val="宋体"/>
        <charset val="134"/>
      </rPr>
      <t>水稳碎石</t>
    </r>
  </si>
  <si>
    <t>评估可研报告</t>
  </si>
  <si>
    <t>5~10</t>
  </si>
  <si>
    <t>10~15</t>
  </si>
  <si>
    <t>15~20</t>
  </si>
  <si>
    <t>20~25</t>
  </si>
  <si>
    <t>25~35</t>
  </si>
  <si>
    <r>
      <rPr>
        <sz val="10.5"/>
        <rFont val="Calibri"/>
        <charset val="0"/>
      </rPr>
      <t>15cm</t>
    </r>
    <r>
      <rPr>
        <sz val="10.5"/>
        <rFont val="宋体"/>
        <charset val="134"/>
      </rPr>
      <t>砂砾</t>
    </r>
  </si>
  <si>
    <r>
      <rPr>
        <sz val="10.5"/>
        <rFont val="Calibri"/>
        <charset val="0"/>
      </rPr>
      <t>15cm 4%</t>
    </r>
    <r>
      <rPr>
        <sz val="10.5"/>
        <rFont val="宋体"/>
        <charset val="134"/>
      </rPr>
      <t>水稳碎石</t>
    </r>
  </si>
  <si>
    <t>调整系数</t>
  </si>
  <si>
    <t>行业系数</t>
  </si>
  <si>
    <t>复杂系数</t>
  </si>
  <si>
    <t>前期工作费计算表</t>
  </si>
  <si>
    <t>项目及费用名称</t>
  </si>
  <si>
    <t>取值范围</t>
  </si>
  <si>
    <t>收费</t>
  </si>
  <si>
    <t>小计</t>
  </si>
  <si>
    <t>总计</t>
  </si>
  <si>
    <t>注:根据计价格〔1999〕1283号文 国家计委关于印发建设项目前期工作咨询收费暂行规定的通知计算</t>
  </si>
  <si>
    <t>监理费</t>
  </si>
  <si>
    <t>监理费计算表</t>
  </si>
  <si>
    <t>计费额</t>
  </si>
  <si>
    <t>收费基价</t>
  </si>
  <si>
    <t>费率</t>
  </si>
  <si>
    <t>专业调整系数</t>
  </si>
  <si>
    <t>工程复杂程度调整系数</t>
  </si>
  <si>
    <t>附加调整系数</t>
  </si>
  <si>
    <r>
      <rPr>
        <sz val="12"/>
        <rFont val="宋体"/>
        <charset val="134"/>
      </rPr>
      <t>（建安费</t>
    </r>
    <r>
      <rPr>
        <sz val="12"/>
        <rFont val="Times New Roman"/>
        <charset val="0"/>
      </rPr>
      <t>+</t>
    </r>
    <r>
      <rPr>
        <sz val="11"/>
        <rFont val="宋体"/>
        <charset val="134"/>
      </rPr>
      <t>设备与工器具购置费</t>
    </r>
    <r>
      <rPr>
        <sz val="12"/>
        <rFont val="Times New Roman"/>
        <charset val="0"/>
      </rPr>
      <t>+</t>
    </r>
    <r>
      <rPr>
        <sz val="11"/>
        <rFont val="宋体"/>
        <charset val="134"/>
      </rPr>
      <t>联合试运转费）</t>
    </r>
  </si>
  <si>
    <t>发改价格〔2007〕670号文“国家发展改革委、建设部关于印发《建设工程监理与相关服务收费管理规定》的通知”</t>
  </si>
  <si>
    <t>环评费</t>
  </si>
  <si>
    <r>
      <rPr>
        <sz val="12"/>
        <rFont val="Times New Roman"/>
        <charset val="0"/>
      </rPr>
      <t>3000</t>
    </r>
    <r>
      <rPr>
        <sz val="11"/>
        <rFont val="宋体"/>
        <charset val="134"/>
      </rPr>
      <t>万元以下</t>
    </r>
  </si>
  <si>
    <r>
      <rPr>
        <sz val="12"/>
        <rFont val="Times New Roman"/>
        <charset val="0"/>
      </rPr>
      <t>3000</t>
    </r>
    <r>
      <rPr>
        <sz val="11"/>
        <rFont val="宋体"/>
        <charset val="134"/>
      </rPr>
      <t>万元</t>
    </r>
    <r>
      <rPr>
        <sz val="12"/>
        <rFont val="Times New Roman"/>
        <charset val="0"/>
      </rPr>
      <t>~2</t>
    </r>
    <r>
      <rPr>
        <sz val="11"/>
        <rFont val="宋体"/>
        <charset val="134"/>
      </rPr>
      <t>亿万元</t>
    </r>
  </si>
  <si>
    <r>
      <rPr>
        <sz val="12"/>
        <rFont val="Times New Roman"/>
        <charset val="0"/>
      </rPr>
      <t>2</t>
    </r>
    <r>
      <rPr>
        <sz val="11"/>
        <rFont val="宋体"/>
        <charset val="134"/>
      </rPr>
      <t>亿元</t>
    </r>
    <r>
      <rPr>
        <sz val="12"/>
        <rFont val="Times New Roman"/>
        <charset val="0"/>
      </rPr>
      <t>~10</t>
    </r>
    <r>
      <rPr>
        <sz val="11"/>
        <rFont val="宋体"/>
        <charset val="134"/>
      </rPr>
      <t>亿元</t>
    </r>
  </si>
  <si>
    <r>
      <rPr>
        <sz val="12"/>
        <rFont val="Times New Roman"/>
        <charset val="0"/>
      </rPr>
      <t>50</t>
    </r>
    <r>
      <rPr>
        <sz val="11"/>
        <rFont val="宋体"/>
        <charset val="134"/>
      </rPr>
      <t>亿元</t>
    </r>
    <r>
      <rPr>
        <sz val="12"/>
        <rFont val="Times New Roman"/>
        <charset val="0"/>
      </rPr>
      <t>~100</t>
    </r>
    <r>
      <rPr>
        <sz val="11"/>
        <rFont val="宋体"/>
        <charset val="134"/>
      </rPr>
      <t>亿元</t>
    </r>
  </si>
  <si>
    <r>
      <rPr>
        <sz val="12"/>
        <rFont val="Times New Roman"/>
        <charset val="0"/>
      </rPr>
      <t>100</t>
    </r>
    <r>
      <rPr>
        <sz val="11"/>
        <rFont val="宋体"/>
        <charset val="134"/>
      </rPr>
      <t>亿元以上</t>
    </r>
  </si>
  <si>
    <t>编制环境影响报告数（含大纲）</t>
  </si>
  <si>
    <r>
      <rPr>
        <sz val="12"/>
        <rFont val="Times New Roman"/>
        <charset val="0"/>
      </rPr>
      <t>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6</t>
    </r>
  </si>
  <si>
    <r>
      <rPr>
        <sz val="12"/>
        <rFont val="Times New Roman"/>
        <charset val="0"/>
      </rPr>
      <t>6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15</t>
    </r>
  </si>
  <si>
    <r>
      <rPr>
        <sz val="12"/>
        <rFont val="Times New Roman"/>
        <charset val="0"/>
      </rPr>
      <t>15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35</t>
    </r>
  </si>
  <si>
    <r>
      <rPr>
        <sz val="12"/>
        <rFont val="Times New Roman"/>
        <charset val="0"/>
      </rPr>
      <t>35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75</t>
    </r>
  </si>
  <si>
    <r>
      <rPr>
        <sz val="12"/>
        <rFont val="Times New Roman"/>
        <charset val="0"/>
      </rPr>
      <t>75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110</t>
    </r>
  </si>
  <si>
    <t>编制环境影响报告表</t>
  </si>
  <si>
    <r>
      <rPr>
        <sz val="12"/>
        <rFont val="Times New Roman"/>
        <charset val="0"/>
      </rPr>
      <t>1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2</t>
    </r>
  </si>
  <si>
    <r>
      <rPr>
        <sz val="12"/>
        <rFont val="Times New Roman"/>
        <charset val="0"/>
      </rPr>
      <t>2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4</t>
    </r>
  </si>
  <si>
    <r>
      <rPr>
        <sz val="12"/>
        <rFont val="Times New Roman"/>
        <charset val="0"/>
      </rPr>
      <t>4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7</t>
    </r>
  </si>
  <si>
    <r>
      <rPr>
        <sz val="12"/>
        <rFont val="Times New Roman"/>
        <charset val="0"/>
      </rPr>
      <t>7</t>
    </r>
    <r>
      <rPr>
        <sz val="11"/>
        <rFont val="宋体"/>
        <charset val="134"/>
      </rPr>
      <t>以上</t>
    </r>
  </si>
  <si>
    <t>评估环境影响报告数（含大纲）</t>
  </si>
  <si>
    <r>
      <rPr>
        <sz val="12"/>
        <rFont val="Times New Roman"/>
        <charset val="0"/>
      </rPr>
      <t>0.8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1.5</t>
    </r>
  </si>
  <si>
    <r>
      <rPr>
        <sz val="12"/>
        <rFont val="Times New Roman"/>
        <charset val="0"/>
      </rPr>
      <t>1.5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3</t>
    </r>
  </si>
  <si>
    <r>
      <rPr>
        <sz val="12"/>
        <rFont val="Times New Roman"/>
        <charset val="0"/>
      </rPr>
      <t>3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7</t>
    </r>
  </si>
  <si>
    <r>
      <rPr>
        <sz val="12"/>
        <rFont val="Times New Roman"/>
        <charset val="0"/>
      </rPr>
      <t>7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9</t>
    </r>
  </si>
  <si>
    <r>
      <rPr>
        <sz val="12"/>
        <rFont val="Times New Roman"/>
        <charset val="0"/>
      </rPr>
      <t>9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13</t>
    </r>
  </si>
  <si>
    <r>
      <rPr>
        <sz val="12"/>
        <rFont val="Times New Roman"/>
        <charset val="0"/>
      </rPr>
      <t>13</t>
    </r>
    <r>
      <rPr>
        <sz val="11"/>
        <rFont val="宋体"/>
        <charset val="134"/>
      </rPr>
      <t>以上</t>
    </r>
  </si>
  <si>
    <t>评估环境影响报告表</t>
  </si>
  <si>
    <r>
      <rPr>
        <sz val="12"/>
        <rFont val="Times New Roman"/>
        <charset val="0"/>
      </rPr>
      <t>0.5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0.8</t>
    </r>
  </si>
  <si>
    <r>
      <rPr>
        <sz val="12"/>
        <rFont val="Times New Roman"/>
        <charset val="0"/>
      </rPr>
      <t>1.5</t>
    </r>
    <r>
      <rPr>
        <sz val="11"/>
        <rFont val="宋体"/>
        <charset val="134"/>
      </rPr>
      <t>～</t>
    </r>
    <r>
      <rPr>
        <sz val="12"/>
        <rFont val="Times New Roman"/>
        <charset val="0"/>
      </rPr>
      <t>2</t>
    </r>
  </si>
  <si>
    <r>
      <rPr>
        <sz val="12"/>
        <rFont val="Times New Roman"/>
        <charset val="0"/>
      </rPr>
      <t>2</t>
    </r>
    <r>
      <rPr>
        <sz val="11"/>
        <rFont val="宋体"/>
        <charset val="134"/>
      </rPr>
      <t>以上</t>
    </r>
  </si>
  <si>
    <t>环境影响咨询收费计算表</t>
  </si>
  <si>
    <t>环境敏感系数</t>
  </si>
  <si>
    <t>注: 计价格〔2002〕125号文关于规范环境影响咨询收费有关问题的通知</t>
  </si>
  <si>
    <t>招标代理服务收费标准</t>
  </si>
  <si>
    <t>中标金额</t>
  </si>
  <si>
    <r>
      <rPr>
        <sz val="12"/>
        <rFont val="宋体"/>
        <charset val="134"/>
      </rPr>
      <t>费率</t>
    </r>
    <r>
      <rPr>
        <sz val="12"/>
        <rFont val="Times New Roman"/>
        <charset val="0"/>
      </rPr>
      <t>(%)</t>
    </r>
  </si>
  <si>
    <t>工程招标</t>
  </si>
  <si>
    <t>注:根据计价格〔2002〕1980号文 国家计委关于印发《招标代理服务收费管理暂行办法》的通知计算</t>
  </si>
  <si>
    <t>项目建设管理费收费标准</t>
  </si>
  <si>
    <t>建管费</t>
  </si>
  <si>
    <t>注:根据财建〔2016〕504号文 财政部关于印发《基本建设项目建设成本管理规定》的通知</t>
  </si>
  <si>
    <t>施工图文件审查费</t>
  </si>
  <si>
    <t>注:闵价服【2012】237号</t>
  </si>
  <si>
    <t>贷款</t>
  </si>
  <si>
    <t>投资额</t>
  </si>
  <si>
    <t>贷款比例</t>
  </si>
  <si>
    <t>贷款额</t>
  </si>
  <si>
    <t>贷款利率</t>
  </si>
  <si>
    <t>贷款年数</t>
  </si>
  <si>
    <t>当年贷款额</t>
  </si>
  <si>
    <t>市政格式（年中借款当年计息）</t>
  </si>
  <si>
    <t>第一年</t>
  </si>
  <si>
    <t>第二年</t>
  </si>
  <si>
    <t>第三年</t>
  </si>
  <si>
    <t>第四年</t>
  </si>
  <si>
    <t>第五年</t>
  </si>
  <si>
    <t>复利</t>
  </si>
  <si>
    <t>单利</t>
  </si>
  <si>
    <t>水土保持方案编制费</t>
  </si>
  <si>
    <t>保监〔2005〕22号</t>
  </si>
  <si>
    <t>设计费计算表</t>
  </si>
  <si>
    <t>收费基价     （依据规定内插）</t>
  </si>
  <si>
    <t>初设设计费</t>
  </si>
  <si>
    <t>施工图设计费</t>
  </si>
  <si>
    <t>(1)</t>
  </si>
  <si>
    <t>(2)</t>
  </si>
  <si>
    <t>(3)</t>
  </si>
  <si>
    <t>(4)</t>
  </si>
  <si>
    <t>(5)</t>
  </si>
  <si>
    <t>(6)</t>
  </si>
  <si>
    <t>(7)</t>
  </si>
  <si>
    <t>(8)=(4)*(5)*(6)*(7)</t>
  </si>
  <si>
    <t>(9)=(8)*45%</t>
  </si>
  <si>
    <t>(10)=(8)*55%</t>
  </si>
  <si>
    <t>桥梁工程</t>
  </si>
  <si>
    <t>排水工程</t>
  </si>
  <si>
    <t>附属工程</t>
  </si>
  <si>
    <t>五</t>
  </si>
  <si>
    <t>配套工程</t>
  </si>
  <si>
    <t>六</t>
  </si>
  <si>
    <r>
      <rPr>
        <sz val="12"/>
        <rFont val="宋体"/>
        <charset val="134"/>
      </rPr>
      <t>（建安费</t>
    </r>
    <r>
      <rPr>
        <sz val="12"/>
        <rFont val="Times New Roman"/>
        <charset val="0"/>
      </rPr>
      <t>+</t>
    </r>
    <r>
      <rPr>
        <sz val="12"/>
        <rFont val="宋体"/>
        <charset val="134"/>
      </rPr>
      <t>设备与工器具购置费</t>
    </r>
    <r>
      <rPr>
        <sz val="12"/>
        <rFont val="Times New Roman"/>
        <charset val="0"/>
      </rPr>
      <t>+</t>
    </r>
    <r>
      <rPr>
        <sz val="12"/>
        <rFont val="宋体"/>
        <charset val="134"/>
      </rPr>
      <t>联合试运转费）</t>
    </r>
  </si>
  <si>
    <t>（</t>
  </si>
  <si>
    <t>工程项目造价汇总表</t>
  </si>
  <si>
    <t>工程名称:云龙乡际下村人行栈道建设工程</t>
  </si>
  <si>
    <t>第1页 共1页</t>
  </si>
  <si>
    <t>单项工程名称</t>
  </si>
  <si>
    <t>金额(元)</t>
  </si>
  <si>
    <t>其中</t>
  </si>
  <si>
    <t>安全文明施工费(元)</t>
  </si>
  <si>
    <t>人工费
（元）</t>
  </si>
  <si>
    <t>1</t>
  </si>
  <si>
    <t>单项工程</t>
  </si>
  <si>
    <t>工程建设其他用</t>
  </si>
  <si>
    <t>总概算合计</t>
  </si>
  <si>
    <t>单项工程造价汇总表</t>
  </si>
  <si>
    <t>工程名称：云龙乡际下村人行栈道建设工程  单项工程</t>
  </si>
  <si>
    <t>单位工程名称</t>
  </si>
  <si>
    <t xml:space="preserve"> 其中</t>
  </si>
  <si>
    <t>2</t>
  </si>
  <si>
    <t>合        计</t>
  </si>
  <si>
    <t>单位工程造价汇总表</t>
  </si>
  <si>
    <t>工程名称：云龙乡际下村人行栈道建设工程  单项工程  市政工程</t>
  </si>
  <si>
    <t>第1页 共2页</t>
  </si>
  <si>
    <t>汇 总 内 容</t>
  </si>
  <si>
    <t>金 额(元)</t>
  </si>
  <si>
    <t>分部分项工程费</t>
  </si>
  <si>
    <t>1.1</t>
  </si>
  <si>
    <t>1.2</t>
  </si>
  <si>
    <t>1.3</t>
  </si>
  <si>
    <t>1.4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</si>
  <si>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</si>
  <si>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</si>
  <si>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</si>
  <si>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</si>
  <si>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</si>
  <si>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</si>
  <si>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</si>
  <si>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</si>
  <si>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</si>
  <si>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</si>
  <si>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</si>
  <si>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</si>
  <si>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</si>
  <si>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</si>
  <si>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</si>
  <si>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</si>
  <si>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</si>
  <si>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工程名称：云龙乡际下村人行栈道建设工程  单项工程  园林工程</t>
  </si>
  <si>
    <t>第2页 共2页</t>
  </si>
  <si>
    <t>分部分项工程量清单与计价表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</si>
  <si>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</si>
  <si>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</si>
  <si>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</si>
  <si>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</si>
  <si>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</si>
  <si>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</si>
  <si>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</si>
  <si>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</si>
  <si>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单项工程(17市政)</t>
  </si>
  <si>
    <t>单位工程(17市政)</t>
  </si>
  <si>
    <t>分项工程(17市政)</t>
  </si>
  <si>
    <t>041001008001</t>
  </si>
  <si>
    <t>拆除混凝土结构</t>
  </si>
  <si>
    <t>(1)拆除原有混凝土护栏</t>
  </si>
  <si>
    <t>041001001003</t>
  </si>
  <si>
    <t>040103002073</t>
  </si>
  <si>
    <t>余方弃置</t>
  </si>
  <si>
    <t>(1)废弃料品种:拆除废料
(2)运距:5km</t>
  </si>
  <si>
    <t>4</t>
  </si>
  <si>
    <t>010403008001</t>
  </si>
  <si>
    <t>石台阶</t>
  </si>
  <si>
    <t>(1)石料种类、规格:M10浆砌整条石阶梯</t>
  </si>
  <si>
    <t>5</t>
  </si>
  <si>
    <t>050305006001</t>
  </si>
  <si>
    <t>(1)桌面形状、尺寸、支墩高度:φ900石桌+4个石椅
(2)石材种类:大理石</t>
  </si>
  <si>
    <t>个</t>
  </si>
  <si>
    <t>6</t>
  </si>
  <si>
    <t>050305006002</t>
  </si>
  <si>
    <t>(1)凳面尺寸、支墩高度:1.8m(长)x0.35m(宽)x0.45m(高)
(2)石材种类:芝麻灰自然面(顶面为光面)</t>
  </si>
  <si>
    <t>7</t>
  </si>
  <si>
    <t>040309001001</t>
  </si>
  <si>
    <t>金属栏杆</t>
  </si>
  <si>
    <t>(1)成品仿木色镀锌方管栏
(2)高度：1320mm
(3)材质：150x150x3镀锌方管仿木栏杆立柱、100x100x3镀锌方管仿木栏杆横杆、80x70x3镀锌方管仿木栏杆横杆、80x60x3镀锌方管仿木栏杆横杆
(4)油漆：镀锌方管表面涂防锈漆二道、仿木纹面漆二道</t>
  </si>
  <si>
    <t>m</t>
  </si>
  <si>
    <t>8</t>
  </si>
  <si>
    <t>040805004001</t>
  </si>
  <si>
    <t>(1)规格:14.7×17.7×14.6cm
(2)名称:太阳能柱头灯</t>
  </si>
  <si>
    <t>套</t>
  </si>
  <si>
    <t>9</t>
  </si>
  <si>
    <t>040303002002</t>
  </si>
  <si>
    <t>混凝土基础</t>
  </si>
  <si>
    <t>(1)C20混凝土基础</t>
  </si>
  <si>
    <t>10</t>
  </si>
  <si>
    <t>010504004007</t>
  </si>
  <si>
    <t>挡土墙</t>
  </si>
  <si>
    <t>(1)C25混凝土挡土墙</t>
  </si>
  <si>
    <t>11</t>
  </si>
  <si>
    <t>040501004008</t>
  </si>
  <si>
    <t>塑料管</t>
  </si>
  <si>
    <t>(1)材质及规格:φ25mmPVC泄水管</t>
  </si>
  <si>
    <t>12</t>
  </si>
  <si>
    <t>080106004006</t>
  </si>
  <si>
    <t>滤沟、滤层</t>
  </si>
  <si>
    <t>(1)砂石反滤层</t>
  </si>
  <si>
    <t>13</t>
  </si>
  <si>
    <t>040201021006</t>
  </si>
  <si>
    <t>土工合成材料</t>
  </si>
  <si>
    <t>(1)材料品种、规格:土工布600g/m2外包</t>
  </si>
  <si>
    <t>14</t>
  </si>
  <si>
    <t>050201001001</t>
  </si>
  <si>
    <t>园路</t>
  </si>
  <si>
    <t>(1)30厚火烧板,水泥浆擦粉
(2)30厚1:3干硬性水</t>
  </si>
  <si>
    <t>泥砂浆粘结层,上撒素水泥
(3)素水泥浆一道(内掺建筑胶)
(4)100厚C20砼结构层
(5)150厚碎石灌砂
(6)素土夯实</t>
  </si>
  <si>
    <t>15</t>
  </si>
  <si>
    <t>050201013001</t>
  </si>
  <si>
    <t>石汀步(步石、飞石)</t>
  </si>
  <si>
    <t>(1)300x1200x30mm火烧板汀石</t>
  </si>
  <si>
    <t>16</t>
  </si>
  <si>
    <t>050201003001</t>
  </si>
  <si>
    <t>路牙铺设</t>
  </si>
  <si>
    <t>(1)路牙材料种类、规格:芝麻灰烧面路沿石
(2)砂浆强度等级:150厚1:3水泥砂浆</t>
  </si>
  <si>
    <t>17</t>
  </si>
  <si>
    <t>050201001002</t>
  </si>
  <si>
    <t>(1)5mm陶瓷颗粒(2刷油+2扫砂)</t>
  </si>
  <si>
    <t>18</t>
  </si>
  <si>
    <t>040305001001</t>
  </si>
  <si>
    <t>垫层</t>
  </si>
  <si>
    <t>(1)5cmC40防水混凝土</t>
  </si>
  <si>
    <t>19</t>
  </si>
  <si>
    <t>010904002001</t>
  </si>
  <si>
    <t>楼（地）面涂膜防水</t>
  </si>
  <si>
    <t>(1)1.5mm厚聚氨酯防水层(两道)</t>
  </si>
  <si>
    <t>20</t>
  </si>
  <si>
    <t>010605001001</t>
  </si>
  <si>
    <t>钢板楼板</t>
  </si>
  <si>
    <t>(1)钢材品种、规格:花纹钢板
(2)钢板厚度:10mm厚</t>
  </si>
  <si>
    <t>t</t>
  </si>
  <si>
    <t>21</t>
  </si>
  <si>
    <t>010606007001</t>
  </si>
  <si>
    <t>钢走道</t>
  </si>
  <si>
    <t>(1)50x50x3、120x120x3方钢管,100x100x8x8、150X150X8X8 H钢支撑</t>
  </si>
  <si>
    <t>22</t>
  </si>
  <si>
    <t>040901001003</t>
  </si>
  <si>
    <t>现浇构件钢筋</t>
  </si>
  <si>
    <t>(1)钢筋规格:4φ18热轧带肋钢筋</t>
  </si>
  <si>
    <t>23</t>
  </si>
  <si>
    <t>040901009002</t>
  </si>
  <si>
    <t>预埋铁件</t>
  </si>
  <si>
    <t>(1)材料规格:20厚钢垫板</t>
  </si>
  <si>
    <t>24</t>
  </si>
  <si>
    <t>040803004001</t>
  </si>
  <si>
    <t>混凝土包封</t>
  </si>
  <si>
    <t>(1)C25混凝土满包</t>
  </si>
  <si>
    <t>单位工程(17园林)</t>
  </si>
  <si>
    <t>分项工程(17园林)</t>
  </si>
  <si>
    <t>25</t>
  </si>
  <si>
    <t>050101010001</t>
  </si>
  <si>
    <t>整理绿化用地</t>
  </si>
  <si>
    <t>(1)土方填平夯实</t>
  </si>
  <si>
    <t>26</t>
  </si>
  <si>
    <t>050102002001</t>
  </si>
  <si>
    <t>栽植灌木</t>
  </si>
  <si>
    <t>(1)种类:山茶花球
(2)养护期:成活养护期半年日常养护期半年
(3)冠丛高:1.0-1.2m
(4)蓬径:1.0-1.2m</t>
  </si>
  <si>
    <t>株</t>
  </si>
  <si>
    <t>27</t>
  </si>
  <si>
    <t>050102012001</t>
  </si>
  <si>
    <t>铺种草皮</t>
  </si>
  <si>
    <t>(1)养护期:成活养护期半年日常养护期半年
(2)草皮种类:兰引7号
(3)铺种方式:满铺</t>
  </si>
  <si>
    <t>总价措施项目清单与计价表</t>
  </si>
  <si>
    <t>项 目 名 称</t>
  </si>
  <si>
    <t>计 算 基 础
(元)</t>
  </si>
  <si>
    <t>费    率(%)</t>
  </si>
  <si>
    <t>/</t>
  </si>
  <si>
    <t>2.12</t>
  </si>
  <si>
    <t>0.49</t>
  </si>
  <si>
    <t>2.3</t>
  </si>
  <si>
    <t>2.4</t>
  </si>
  <si>
    <t>2.97</t>
  </si>
  <si>
    <t>合    计</t>
  </si>
  <si>
    <t>单价措施项目清单与计价表</t>
  </si>
  <si>
    <t>041106001005</t>
  </si>
  <si>
    <t>大型机械设备进出场及安拆</t>
  </si>
  <si>
    <t>合       计</t>
  </si>
  <si>
    <t>人工、材料设备、机械汇总表</t>
  </si>
  <si>
    <t>第1页 共4页</t>
  </si>
  <si>
    <t>工料机编码</t>
  </si>
  <si>
    <t>工料机名称</t>
  </si>
  <si>
    <t>规格、型号等特殊要求</t>
  </si>
  <si>
    <t>单位</t>
  </si>
  <si>
    <t>数量</t>
  </si>
  <si>
    <t>单价</t>
  </si>
  <si>
    <t>人工</t>
  </si>
  <si>
    <t>00010040</t>
  </si>
  <si>
    <t>定额人工费</t>
  </si>
  <si>
    <t>材料</t>
  </si>
  <si>
    <t>01000020</t>
  </si>
  <si>
    <t>型钢</t>
  </si>
  <si>
    <t>综合</t>
  </si>
  <si>
    <t>01010120</t>
  </si>
  <si>
    <t>螺纹钢筋</t>
  </si>
  <si>
    <t>HRB335Φ16</t>
  </si>
  <si>
    <t>01030140</t>
  </si>
  <si>
    <t>镀锌铁丝</t>
  </si>
  <si>
    <t>22#</t>
  </si>
  <si>
    <t>kg</t>
  </si>
  <si>
    <t>01030390</t>
  </si>
  <si>
    <t>镀锌低碳钢丝</t>
  </si>
  <si>
    <t>Φ3</t>
  </si>
  <si>
    <t>01090100</t>
  </si>
  <si>
    <t>圆钢</t>
  </si>
  <si>
    <t>01290100</t>
  </si>
  <si>
    <t>钢板</t>
  </si>
  <si>
    <t>01290230</t>
  </si>
  <si>
    <t>δ10-12</t>
  </si>
  <si>
    <t>01291980</t>
  </si>
  <si>
    <t>01610250</t>
  </si>
  <si>
    <t>铁件</t>
  </si>
  <si>
    <t>02270100</t>
  </si>
  <si>
    <t>土工布</t>
  </si>
  <si>
    <t>02270110</t>
  </si>
  <si>
    <t>300G</t>
  </si>
  <si>
    <t>02330010</t>
  </si>
  <si>
    <t>草袋</t>
  </si>
  <si>
    <t>03010440</t>
  </si>
  <si>
    <t>铁钉</t>
  </si>
  <si>
    <t>03010550</t>
  </si>
  <si>
    <t>圆钉</t>
  </si>
  <si>
    <t>03014950</t>
  </si>
  <si>
    <t>拉杆螺栓</t>
  </si>
  <si>
    <t>03014970</t>
  </si>
  <si>
    <t>六角螺栓</t>
  </si>
  <si>
    <t>03015560</t>
  </si>
  <si>
    <t>膨胀螺栓</t>
  </si>
  <si>
    <t>M8×60</t>
  </si>
  <si>
    <t>03130160</t>
  </si>
  <si>
    <t>低合金实芯焊丝</t>
  </si>
  <si>
    <t>Φ1.2</t>
  </si>
  <si>
    <t>03130370</t>
  </si>
  <si>
    <t>电焊条</t>
  </si>
  <si>
    <t>结422Φ3.2</t>
  </si>
  <si>
    <t>03131320</t>
  </si>
  <si>
    <t>石料切割锯片</t>
  </si>
  <si>
    <t>片</t>
  </si>
  <si>
    <t>03210180</t>
  </si>
  <si>
    <t>垫铁</t>
  </si>
  <si>
    <t>03210610</t>
  </si>
  <si>
    <t>零星卡具</t>
  </si>
  <si>
    <t>03211660</t>
  </si>
  <si>
    <t>金属结构铁件</t>
  </si>
  <si>
    <t>04010001</t>
  </si>
  <si>
    <t>水泥</t>
  </si>
  <si>
    <t>32.5</t>
  </si>
  <si>
    <t>04010010</t>
  </si>
  <si>
    <t>42.5</t>
  </si>
  <si>
    <t>04010050</t>
  </si>
  <si>
    <t>袋装水泥</t>
  </si>
  <si>
    <t>04010170</t>
  </si>
  <si>
    <t>散装水泥</t>
  </si>
  <si>
    <t>28</t>
  </si>
  <si>
    <t>04030120</t>
  </si>
  <si>
    <t>中(细)砂</t>
  </si>
  <si>
    <t>损耗2%+膨胀1.18</t>
  </si>
  <si>
    <t>29</t>
  </si>
  <si>
    <t>04030150</t>
  </si>
  <si>
    <t>中(粗)砂</t>
  </si>
  <si>
    <t>30</t>
  </si>
  <si>
    <t>04030200</t>
  </si>
  <si>
    <t>天然中砂</t>
  </si>
  <si>
    <t>31</t>
  </si>
  <si>
    <t>04030230</t>
  </si>
  <si>
    <t>净干砂（机制砂）</t>
  </si>
  <si>
    <t>32</t>
  </si>
  <si>
    <t>04050010</t>
  </si>
  <si>
    <t>5mm陶瓷颗粒(2刷油+2扫砂)</t>
  </si>
  <si>
    <t>第2页 共4页</t>
  </si>
  <si>
    <t>33</t>
  </si>
  <si>
    <t>04050240</t>
  </si>
  <si>
    <t>碎石</t>
  </si>
  <si>
    <t>Φ5-31.5</t>
  </si>
  <si>
    <t>34</t>
  </si>
  <si>
    <t>04050250</t>
  </si>
  <si>
    <t>Φ5-40</t>
  </si>
  <si>
    <t>35</t>
  </si>
  <si>
    <t>04090230</t>
  </si>
  <si>
    <t>石灰</t>
  </si>
  <si>
    <t>36</t>
  </si>
  <si>
    <t>04110090</t>
  </si>
  <si>
    <t>路沿石</t>
  </si>
  <si>
    <t>120×280-350 露明二凿、倒棱一剁</t>
  </si>
  <si>
    <t>37</t>
  </si>
  <si>
    <t>04110450</t>
  </si>
  <si>
    <t>方整石</t>
  </si>
  <si>
    <t>38</t>
  </si>
  <si>
    <t>04270100</t>
  </si>
  <si>
    <t>混凝土内撑条</t>
  </si>
  <si>
    <t>20mm×25mm</t>
  </si>
  <si>
    <t>39</t>
  </si>
  <si>
    <t>05030210</t>
  </si>
  <si>
    <t>杉木锯材</t>
  </si>
  <si>
    <t>40</t>
  </si>
  <si>
    <t>05030220</t>
  </si>
  <si>
    <t>松木锯材</t>
  </si>
  <si>
    <t>41</t>
  </si>
  <si>
    <t>05030240</t>
  </si>
  <si>
    <t>枕木</t>
  </si>
  <si>
    <t>42</t>
  </si>
  <si>
    <t>05050050</t>
  </si>
  <si>
    <t>胶合板</t>
  </si>
  <si>
    <t>13厚</t>
  </si>
  <si>
    <t>43</t>
  </si>
  <si>
    <t>08030670</t>
  </si>
  <si>
    <t>花岗岩板</t>
  </si>
  <si>
    <t>30厚 中黄黄金麻 火烧面或荔枝面</t>
  </si>
  <si>
    <t>44</t>
  </si>
  <si>
    <t>12210100</t>
  </si>
  <si>
    <t>45</t>
  </si>
  <si>
    <t>13030600</t>
  </si>
  <si>
    <t>环氧富锌底漆(封闭漆)</t>
  </si>
  <si>
    <t>46</t>
  </si>
  <si>
    <t>13350010</t>
  </si>
  <si>
    <t>聚氨酯防水涂料</t>
  </si>
  <si>
    <t>47</t>
  </si>
  <si>
    <t>13350210</t>
  </si>
  <si>
    <t>模板嵌缝料</t>
  </si>
  <si>
    <t>48</t>
  </si>
  <si>
    <t>14350570</t>
  </si>
  <si>
    <t>脱模剂</t>
  </si>
  <si>
    <t>49</t>
  </si>
  <si>
    <t>14350690</t>
  </si>
  <si>
    <t>药剂</t>
  </si>
  <si>
    <t>50</t>
  </si>
  <si>
    <t>14350970</t>
  </si>
  <si>
    <t>环氧富锌漆稀释剂</t>
  </si>
  <si>
    <t>51</t>
  </si>
  <si>
    <t>14350990</t>
  </si>
  <si>
    <t>密封保护剂</t>
  </si>
  <si>
    <t>52</t>
  </si>
  <si>
    <t>14390050</t>
  </si>
  <si>
    <t>二氧化碳气体</t>
  </si>
  <si>
    <t>53</t>
  </si>
  <si>
    <t>14390070</t>
  </si>
  <si>
    <t>可燃气体(丙烷)</t>
  </si>
  <si>
    <t>54</t>
  </si>
  <si>
    <t>14390180</t>
  </si>
  <si>
    <t>氧气</t>
  </si>
  <si>
    <t>55</t>
  </si>
  <si>
    <t>14390190</t>
  </si>
  <si>
    <t>乙炔气</t>
  </si>
  <si>
    <t>56</t>
  </si>
  <si>
    <t>17253660</t>
  </si>
  <si>
    <t>PVC-U排水管</t>
  </si>
  <si>
    <t>Φ25</t>
  </si>
  <si>
    <t>57</t>
  </si>
  <si>
    <t>25330280</t>
  </si>
  <si>
    <t>太阳能柱头灯</t>
  </si>
  <si>
    <t>58</t>
  </si>
  <si>
    <t>32070001</t>
  </si>
  <si>
    <t>兰引7号草皮</t>
  </si>
  <si>
    <t>59</t>
  </si>
  <si>
    <t>32270001</t>
  </si>
  <si>
    <t>肥料</t>
  </si>
  <si>
    <t>60</t>
  </si>
  <si>
    <t>33010280</t>
  </si>
  <si>
    <t>61</t>
  </si>
  <si>
    <t>33010590</t>
  </si>
  <si>
    <t>钢平台、钢走道</t>
  </si>
  <si>
    <t>62</t>
  </si>
  <si>
    <t>34050010</t>
  </si>
  <si>
    <t>草板纸</t>
  </si>
  <si>
    <t>80#</t>
  </si>
  <si>
    <t>张</t>
  </si>
  <si>
    <t>63</t>
  </si>
  <si>
    <t>34110030</t>
  </si>
  <si>
    <t>电</t>
  </si>
  <si>
    <t>kW·h</t>
  </si>
  <si>
    <t>64</t>
  </si>
  <si>
    <t>34110080</t>
  </si>
  <si>
    <t>水</t>
  </si>
  <si>
    <t>65</t>
  </si>
  <si>
    <t>35010001</t>
  </si>
  <si>
    <t>钢模板</t>
  </si>
  <si>
    <t>66</t>
  </si>
  <si>
    <t>35010020</t>
  </si>
  <si>
    <t>组合钢模板</t>
  </si>
  <si>
    <t>67</t>
  </si>
  <si>
    <t>35010140</t>
  </si>
  <si>
    <t>18厚、一级、酚醛</t>
  </si>
  <si>
    <t>68</t>
  </si>
  <si>
    <t>35020030</t>
  </si>
  <si>
    <t>木支撑</t>
  </si>
  <si>
    <t>第3页 共4页</t>
  </si>
  <si>
    <t>69</t>
  </si>
  <si>
    <t>35020060</t>
  </si>
  <si>
    <t>蝴蝶扣</t>
  </si>
  <si>
    <t>70</t>
  </si>
  <si>
    <t>35020160</t>
  </si>
  <si>
    <t>钢模板连接件</t>
  </si>
  <si>
    <t>71</t>
  </si>
  <si>
    <t>35030070</t>
  </si>
  <si>
    <t>钢管</t>
  </si>
  <si>
    <t>Φ48×3.5</t>
  </si>
  <si>
    <t>t.月</t>
  </si>
  <si>
    <t>72</t>
  </si>
  <si>
    <t>35030200</t>
  </si>
  <si>
    <t>扣件</t>
  </si>
  <si>
    <t>个.月</t>
  </si>
  <si>
    <t>73</t>
  </si>
  <si>
    <t>49010030</t>
  </si>
  <si>
    <t>其他材料费</t>
  </si>
  <si>
    <t>%</t>
  </si>
  <si>
    <t>74</t>
  </si>
  <si>
    <t>75</t>
  </si>
  <si>
    <t>49010040</t>
  </si>
  <si>
    <t>76</t>
  </si>
  <si>
    <t>49011001</t>
  </si>
  <si>
    <t>77</t>
  </si>
  <si>
    <t>条石坐凳</t>
  </si>
  <si>
    <t>78</t>
  </si>
  <si>
    <t>φ900石桌+4个石椅</t>
  </si>
  <si>
    <t>79</t>
  </si>
  <si>
    <t>49011009</t>
  </si>
  <si>
    <t>高度（cm）120，冠幅（cm）120</t>
  </si>
  <si>
    <t>80</t>
  </si>
  <si>
    <t>80010020</t>
  </si>
  <si>
    <t>水泥砂浆</t>
  </si>
  <si>
    <t>1:2(32.5)</t>
  </si>
  <si>
    <t>81</t>
  </si>
  <si>
    <t>80010040</t>
  </si>
  <si>
    <t>1:3(32.5)</t>
  </si>
  <si>
    <t>82</t>
  </si>
  <si>
    <t>80010150</t>
  </si>
  <si>
    <t>砌筑水泥砂浆</t>
  </si>
  <si>
    <t>M5(32.5)</t>
  </si>
  <si>
    <t>83</t>
  </si>
  <si>
    <t>80010220</t>
  </si>
  <si>
    <t>M10(42.5)</t>
  </si>
  <si>
    <t>84</t>
  </si>
  <si>
    <t>80010340</t>
  </si>
  <si>
    <t>干硬性水泥砂浆</t>
  </si>
  <si>
    <t>1:3</t>
  </si>
  <si>
    <t>85</t>
  </si>
  <si>
    <t>80110110</t>
  </si>
  <si>
    <t>素水泥浆</t>
  </si>
  <si>
    <t>86</t>
  </si>
  <si>
    <t>80210125</t>
  </si>
  <si>
    <t>普通混凝土</t>
  </si>
  <si>
    <t>C15(32.5) 碎石31.5mm 塌落度10-30mm</t>
  </si>
  <si>
    <t>87</t>
  </si>
  <si>
    <t>80210350</t>
  </si>
  <si>
    <t>现拌普通混凝土</t>
  </si>
  <si>
    <t>C20(42.5) 碎石31.5mm 塌落度10-30mm</t>
  </si>
  <si>
    <t>88</t>
  </si>
  <si>
    <t>80210355</t>
  </si>
  <si>
    <t>C25(42.5) 碎石31.5mm 塌落度10-30mm</t>
  </si>
  <si>
    <t>89</t>
  </si>
  <si>
    <t>80210370</t>
  </si>
  <si>
    <t>C40(42.5) 碎石31.5mm 塌落度10-30mm</t>
  </si>
  <si>
    <t>设备</t>
  </si>
  <si>
    <t>施工机具</t>
  </si>
  <si>
    <t>99010020</t>
  </si>
  <si>
    <t>履带式单斗挖掘机</t>
  </si>
  <si>
    <t>液压 斗容量1m3</t>
  </si>
  <si>
    <t>台班</t>
  </si>
  <si>
    <t>99010030</t>
  </si>
  <si>
    <t>液压 斗容量1.25m3</t>
  </si>
  <si>
    <t>99010130</t>
  </si>
  <si>
    <t>轮胎式单斗挖掘机</t>
  </si>
  <si>
    <t>液压 斗容量0.6m3</t>
  </si>
  <si>
    <t>99010140</t>
  </si>
  <si>
    <t>履带式液压挖掘机(带液压锤)</t>
  </si>
  <si>
    <t>HM960</t>
  </si>
  <si>
    <t>99050010</t>
  </si>
  <si>
    <t>电动滚筒式混凝土搅拌机</t>
  </si>
  <si>
    <t>出料容量400L</t>
  </si>
  <si>
    <t>99050100</t>
  </si>
  <si>
    <t>双锥反转出料混凝土搅拌机</t>
  </si>
  <si>
    <t>出料容量750L</t>
  </si>
  <si>
    <t>99050210</t>
  </si>
  <si>
    <t>灰浆搅拌机</t>
  </si>
  <si>
    <t>拌筒容量200L</t>
  </si>
  <si>
    <t>99070030</t>
  </si>
  <si>
    <t>履带式推土机</t>
  </si>
  <si>
    <t>功率75kW</t>
  </si>
  <si>
    <t>99070510</t>
  </si>
  <si>
    <t>载货汽车</t>
  </si>
  <si>
    <t>装载质量4t</t>
  </si>
  <si>
    <t>99070520</t>
  </si>
  <si>
    <t>装载质量5t</t>
  </si>
  <si>
    <t>99070530</t>
  </si>
  <si>
    <t>装载质量6t</t>
  </si>
  <si>
    <t>第4页 共4页</t>
  </si>
  <si>
    <t>99070540</t>
  </si>
  <si>
    <t>装载质量8t</t>
  </si>
  <si>
    <t>99070670</t>
  </si>
  <si>
    <t>自卸汽车</t>
  </si>
  <si>
    <t>装载质量15t</t>
  </si>
  <si>
    <t>99070730</t>
  </si>
  <si>
    <t>平板拖车组</t>
  </si>
  <si>
    <t>装载质量20t</t>
  </si>
  <si>
    <t>99070750</t>
  </si>
  <si>
    <t>装载质量40t</t>
  </si>
  <si>
    <t>99070990</t>
  </si>
  <si>
    <t>轨道平车</t>
  </si>
  <si>
    <t>装载质量10t</t>
  </si>
  <si>
    <t>99090300</t>
  </si>
  <si>
    <t>汽车式起重机</t>
  </si>
  <si>
    <t>提升质量5t</t>
  </si>
  <si>
    <t>99090360</t>
  </si>
  <si>
    <t>提升质量25t</t>
  </si>
  <si>
    <t>99090560</t>
  </si>
  <si>
    <t>门式起重机</t>
  </si>
  <si>
    <t>提升质量10t</t>
  </si>
  <si>
    <t>99090570</t>
  </si>
  <si>
    <t>提升质量20t</t>
  </si>
  <si>
    <t>99130280</t>
  </si>
  <si>
    <t>电动夯实机</t>
  </si>
  <si>
    <t>夯击能力20～62N.m</t>
  </si>
  <si>
    <t>99170020</t>
  </si>
  <si>
    <t>钢筋切断机</t>
  </si>
  <si>
    <t>直径40mm</t>
  </si>
  <si>
    <t>99170040</t>
  </si>
  <si>
    <t>钢筋弯曲机</t>
  </si>
  <si>
    <t>99190180</t>
  </si>
  <si>
    <t>端部铣床</t>
  </si>
  <si>
    <t>99190300</t>
  </si>
  <si>
    <t>摇臂钻床</t>
  </si>
  <si>
    <t>Z3050×16/1</t>
  </si>
  <si>
    <t>99190310</t>
  </si>
  <si>
    <t>数控平板钻床</t>
  </si>
  <si>
    <t>CDMP2012</t>
  </si>
  <si>
    <t>99190320</t>
  </si>
  <si>
    <t>数控转角带锯床</t>
  </si>
  <si>
    <t>SAW1260</t>
  </si>
  <si>
    <t>99190420</t>
  </si>
  <si>
    <t>剪板机</t>
  </si>
  <si>
    <t>厚度×宽度 40×3100mm</t>
  </si>
  <si>
    <t>99190470</t>
  </si>
  <si>
    <t>钢材电动煨弯机</t>
  </si>
  <si>
    <t>弯曲直径500～1800mm</t>
  </si>
  <si>
    <t>99190770</t>
  </si>
  <si>
    <t>刨边机</t>
  </si>
  <si>
    <t>加工长度12000mm</t>
  </si>
  <si>
    <t>99191430</t>
  </si>
  <si>
    <t>H型钢组立机</t>
  </si>
  <si>
    <t>HZJ-2500</t>
  </si>
  <si>
    <t>99191440</t>
  </si>
  <si>
    <t>液压矫正机</t>
  </si>
  <si>
    <t>YJZ-60B</t>
  </si>
  <si>
    <t>99191820</t>
  </si>
  <si>
    <t>石料切割机</t>
  </si>
  <si>
    <t>99210001</t>
  </si>
  <si>
    <t>木工圆锯机</t>
  </si>
  <si>
    <t>直径500mm</t>
  </si>
  <si>
    <t>99230140</t>
  </si>
  <si>
    <t>数控切割机</t>
  </si>
  <si>
    <t>CNC/GDZ-400</t>
  </si>
  <si>
    <t>99250001</t>
  </si>
  <si>
    <t>交流弧焊机</t>
  </si>
  <si>
    <t>容量21kVA</t>
  </si>
  <si>
    <t>99250010</t>
  </si>
  <si>
    <t>容量30kVA</t>
  </si>
  <si>
    <t>99250110</t>
  </si>
  <si>
    <t>直流弧焊机</t>
  </si>
  <si>
    <t>容量 32kV·A</t>
  </si>
  <si>
    <t>99250150</t>
  </si>
  <si>
    <t>对焊机</t>
  </si>
  <si>
    <t>容量75kVA</t>
  </si>
  <si>
    <t>99250240</t>
  </si>
  <si>
    <t>二氧化碳气体保护焊机</t>
  </si>
  <si>
    <t>电流500A</t>
  </si>
  <si>
    <t>99250510</t>
  </si>
  <si>
    <t>埋弧气刨机</t>
  </si>
  <si>
    <t>ZX5-1000</t>
  </si>
  <si>
    <t>99250530</t>
  </si>
  <si>
    <t>双悬臂式焊接机</t>
  </si>
  <si>
    <t>SXBH20</t>
  </si>
  <si>
    <t>99270140</t>
  </si>
  <si>
    <t>焊剂烘干机</t>
  </si>
  <si>
    <t>YJJ-A-300</t>
  </si>
  <si>
    <t>99310030</t>
  </si>
  <si>
    <t>洒水车</t>
  </si>
  <si>
    <t>罐容量4000L</t>
  </si>
  <si>
    <t>99430220</t>
  </si>
  <si>
    <t>电动空气压缩机</t>
  </si>
  <si>
    <t>排气量10m3/min</t>
  </si>
  <si>
    <t>99450770</t>
  </si>
  <si>
    <t>恒温箱</t>
  </si>
  <si>
    <t>99450790</t>
  </si>
  <si>
    <t>电焊条烘干箱</t>
  </si>
  <si>
    <t>容积450×350×450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</si>
</sst>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_ "/>
    <numFmt numFmtId="178" formatCode="0.0_ "/>
    <numFmt numFmtId="179" formatCode="0.00_ "/>
  </numFmts>
  <fonts count="48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sz val="9"/>
      <color indexed="8"/>
      <name val="宋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2"/>
      <name val="宋体"/>
      <charset val="134"/>
    </font>
    <font>
      <b/>
      <sz val="20"/>
      <name val="宋体"/>
      <charset val="134"/>
    </font>
    <font>
      <b/>
      <sz val="20"/>
      <name val="Times New Roman"/>
      <charset val="0"/>
    </font>
    <font>
      <sz val="12"/>
      <name val="Times New Roman"/>
      <charset val="0"/>
    </font>
    <font>
      <b/>
      <sz val="12"/>
      <name val="宋体"/>
      <charset val="0"/>
    </font>
    <font>
      <sz val="12"/>
      <name val="宋体"/>
      <charset val="0"/>
    </font>
    <font>
      <b/>
      <sz val="18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30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Helv"/>
      <charset val="134"/>
    </font>
    <font>
      <sz val="12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5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7" borderId="5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56" applyNumberFormat="0" applyFill="0" applyAlignment="0" applyProtection="0">
      <alignment vertical="center"/>
    </xf>
    <xf numFmtId="0" fontId="33" fillId="0" borderId="56" applyNumberFormat="0" applyFill="0" applyAlignment="0" applyProtection="0">
      <alignment vertical="center"/>
    </xf>
    <xf numFmtId="0" fontId="34" fillId="0" borderId="5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8" borderId="58" applyNumberFormat="0" applyAlignment="0" applyProtection="0">
      <alignment vertical="center"/>
    </xf>
    <xf numFmtId="0" fontId="36" fillId="9" borderId="59" applyNumberFormat="0" applyAlignment="0" applyProtection="0">
      <alignment vertical="center"/>
    </xf>
    <xf numFmtId="0" fontId="37" fillId="9" borderId="58" applyNumberFormat="0" applyAlignment="0" applyProtection="0">
      <alignment vertical="center"/>
    </xf>
    <xf numFmtId="0" fontId="38" fillId="10" borderId="60" applyNumberFormat="0" applyAlignment="0" applyProtection="0">
      <alignment vertical="center"/>
    </xf>
    <xf numFmtId="0" fontId="39" fillId="0" borderId="61" applyNumberFormat="0" applyFill="0" applyAlignment="0" applyProtection="0">
      <alignment vertical="center"/>
    </xf>
    <xf numFmtId="0" fontId="40" fillId="0" borderId="62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0" borderId="0"/>
    <xf numFmtId="0" fontId="11" fillId="0" borderId="0"/>
    <xf numFmtId="0" fontId="0" fillId="0" borderId="0"/>
    <xf numFmtId="0" fontId="46" fillId="0" borderId="0"/>
    <xf numFmtId="0" fontId="14" fillId="0" borderId="0"/>
    <xf numFmtId="0" fontId="11" fillId="0" borderId="0"/>
    <xf numFmtId="0" fontId="46" fillId="0" borderId="0"/>
    <xf numFmtId="0" fontId="11" fillId="0" borderId="0">
      <alignment vertical="center"/>
    </xf>
  </cellStyleXfs>
  <cellXfs count="382">
    <xf numFmtId="0" fontId="0" fillId="0" borderId="0" xfId="52"/>
    <xf numFmtId="0" fontId="1" fillId="0" borderId="0" xfId="52" applyNumberFormat="1" applyFont="1" applyBorder="1" applyAlignment="1">
      <alignment horizontal="center" vertical="center" wrapText="1"/>
    </xf>
    <xf numFmtId="0" fontId="2" fillId="0" borderId="0" xfId="52" applyNumberFormat="1" applyFont="1" applyBorder="1" applyAlignment="1">
      <alignment horizontal="center" vertical="center" wrapText="1"/>
    </xf>
    <xf numFmtId="0" fontId="2" fillId="0" borderId="0" xfId="52" applyNumberFormat="1" applyFont="1" applyBorder="1" applyAlignment="1">
      <alignment horizontal="left" vertical="center" wrapText="1"/>
    </xf>
    <xf numFmtId="0" fontId="2" fillId="0" borderId="1" xfId="52" applyNumberFormat="1" applyFont="1" applyBorder="1" applyAlignment="1">
      <alignment horizontal="center" vertical="center" wrapText="1"/>
    </xf>
    <xf numFmtId="0" fontId="3" fillId="0" borderId="1" xfId="52" applyNumberFormat="1" applyFont="1" applyBorder="1" applyAlignment="1">
      <alignment horizontal="center" vertical="center" wrapText="1"/>
    </xf>
    <xf numFmtId="0" fontId="3" fillId="0" borderId="1" xfId="52" applyNumberFormat="1" applyFont="1" applyBorder="1" applyAlignment="1">
      <alignment horizontal="left" vertical="center" wrapText="1"/>
    </xf>
    <xf numFmtId="0" fontId="3" fillId="0" borderId="1" xfId="52" applyNumberFormat="1" applyFont="1" applyBorder="1" applyAlignment="1">
      <alignment horizontal="right" vertical="center" wrapText="1"/>
    </xf>
    <xf numFmtId="0" fontId="3" fillId="0" borderId="1" xfId="52" applyFont="1" applyBorder="1" applyAlignment="1">
      <alignment horizontal="right" vertical="center" wrapText="1" shrinkToFit="1"/>
    </xf>
    <xf numFmtId="2" fontId="3" fillId="0" borderId="1" xfId="52" applyNumberFormat="1" applyFont="1" applyBorder="1" applyAlignment="1">
      <alignment horizontal="right" vertical="center" wrapText="1" shrinkToFit="1"/>
    </xf>
    <xf numFmtId="176" fontId="3" fillId="0" borderId="1" xfId="52" applyNumberFormat="1" applyFont="1" applyBorder="1" applyAlignment="1">
      <alignment horizontal="right" vertical="center" wrapText="1" shrinkToFit="1"/>
    </xf>
    <xf numFmtId="0" fontId="4" fillId="0" borderId="0" xfId="52" applyNumberFormat="1" applyFont="1" applyBorder="1" applyAlignment="1">
      <alignment horizontal="center" vertical="center" wrapText="1"/>
    </xf>
    <xf numFmtId="0" fontId="3" fillId="0" borderId="0" xfId="52" applyNumberFormat="1" applyFont="1" applyBorder="1" applyAlignment="1">
      <alignment horizontal="center" vertical="center" wrapText="1"/>
    </xf>
    <xf numFmtId="0" fontId="2" fillId="0" borderId="2" xfId="52" applyNumberFormat="1" applyFont="1" applyBorder="1" applyAlignment="1">
      <alignment horizontal="center" vertical="center" wrapText="1"/>
    </xf>
    <xf numFmtId="0" fontId="2" fillId="0" borderId="3" xfId="52" applyNumberFormat="1" applyFont="1" applyBorder="1" applyAlignment="1">
      <alignment horizontal="center" vertical="center" wrapText="1"/>
    </xf>
    <xf numFmtId="0" fontId="2" fillId="0" borderId="4" xfId="52" applyNumberFormat="1" applyFont="1" applyBorder="1" applyAlignment="1">
      <alignment horizontal="center" vertical="center" wrapText="1"/>
    </xf>
    <xf numFmtId="0" fontId="2" fillId="0" borderId="5" xfId="52" applyNumberFormat="1" applyFont="1" applyBorder="1" applyAlignment="1">
      <alignment horizontal="center" vertical="center" wrapText="1"/>
    </xf>
    <xf numFmtId="0" fontId="2" fillId="0" borderId="6" xfId="52" applyNumberFormat="1" applyFont="1" applyBorder="1" applyAlignment="1">
      <alignment horizontal="center" vertical="center" wrapText="1"/>
    </xf>
    <xf numFmtId="0" fontId="2" fillId="0" borderId="7" xfId="52" applyNumberFormat="1" applyFont="1" applyBorder="1" applyAlignment="1">
      <alignment horizontal="center" vertical="center" wrapText="1"/>
    </xf>
    <xf numFmtId="0" fontId="3" fillId="0" borderId="8" xfId="52" applyNumberFormat="1" applyFont="1" applyBorder="1" applyAlignment="1">
      <alignment horizontal="center" vertical="center" wrapText="1"/>
    </xf>
    <xf numFmtId="0" fontId="2" fillId="0" borderId="9" xfId="52" applyNumberFormat="1" applyFont="1" applyBorder="1" applyAlignment="1">
      <alignment horizontal="center" vertical="center" wrapText="1"/>
    </xf>
    <xf numFmtId="0" fontId="2" fillId="0" borderId="10" xfId="52" applyNumberFormat="1" applyFont="1" applyBorder="1" applyAlignment="1">
      <alignment horizontal="center" vertical="center" wrapText="1"/>
    </xf>
    <xf numFmtId="0" fontId="2" fillId="0" borderId="11" xfId="52" applyNumberFormat="1" applyFont="1" applyBorder="1" applyAlignment="1">
      <alignment horizontal="center" vertical="center" wrapText="1"/>
    </xf>
    <xf numFmtId="0" fontId="3" fillId="0" borderId="5" xfId="52" applyNumberFormat="1" applyFont="1" applyBorder="1" applyAlignment="1">
      <alignment horizontal="center" vertical="center" wrapText="1"/>
    </xf>
    <xf numFmtId="0" fontId="3" fillId="0" borderId="6" xfId="52" applyNumberFormat="1" applyFont="1" applyBorder="1" applyAlignment="1">
      <alignment horizontal="center" vertical="center" wrapText="1"/>
    </xf>
    <xf numFmtId="0" fontId="3" fillId="0" borderId="7" xfId="52" applyNumberFormat="1" applyFont="1" applyBorder="1" applyAlignment="1">
      <alignment horizontal="center" vertical="center" wrapText="1"/>
    </xf>
    <xf numFmtId="2" fontId="3" fillId="0" borderId="5" xfId="52" applyNumberFormat="1" applyFont="1" applyBorder="1" applyAlignment="1">
      <alignment horizontal="right" vertical="center" wrapText="1" shrinkToFit="1"/>
    </xf>
    <xf numFmtId="2" fontId="3" fillId="0" borderId="7" xfId="52" applyNumberFormat="1" applyFont="1" applyBorder="1" applyAlignment="1">
      <alignment horizontal="right" vertical="center" wrapText="1" shrinkToFit="1"/>
    </xf>
    <xf numFmtId="0" fontId="5" fillId="0" borderId="0" xfId="52" applyNumberFormat="1" applyFont="1" applyBorder="1" applyAlignment="1">
      <alignment horizontal="center" vertical="center" wrapText="1"/>
    </xf>
    <xf numFmtId="0" fontId="2" fillId="0" borderId="1" xfId="52" applyNumberFormat="1" applyFont="1" applyBorder="1" applyAlignment="1">
      <alignment horizontal="left" vertical="center" wrapText="1"/>
    </xf>
    <xf numFmtId="2" fontId="2" fillId="0" borderId="1" xfId="52" applyNumberFormat="1" applyFont="1" applyBorder="1" applyAlignment="1">
      <alignment horizontal="right" vertical="center" wrapText="1" shrinkToFit="1"/>
    </xf>
    <xf numFmtId="176" fontId="2" fillId="0" borderId="1" xfId="52" applyNumberFormat="1" applyFont="1" applyBorder="1" applyAlignment="1">
      <alignment horizontal="center" vertical="center" wrapText="1"/>
    </xf>
    <xf numFmtId="0" fontId="3" fillId="0" borderId="5" xfId="52" applyFont="1" applyBorder="1" applyAlignment="1">
      <alignment horizontal="right" vertical="center" wrapText="1" shrinkToFit="1"/>
    </xf>
    <xf numFmtId="0" fontId="3" fillId="0" borderId="7" xfId="52" applyFont="1" applyBorder="1" applyAlignment="1">
      <alignment horizontal="right" vertical="center" wrapText="1" shrinkToFit="1"/>
    </xf>
    <xf numFmtId="0" fontId="2" fillId="0" borderId="12" xfId="52" applyNumberFormat="1" applyFont="1" applyBorder="1" applyAlignment="1">
      <alignment horizontal="left" vertical="center" wrapText="1"/>
    </xf>
    <xf numFmtId="0" fontId="2" fillId="0" borderId="12" xfId="52" applyNumberFormat="1" applyFont="1" applyBorder="1" applyAlignment="1">
      <alignment horizontal="center" vertical="center" wrapText="1"/>
    </xf>
    <xf numFmtId="0" fontId="3" fillId="0" borderId="0" xfId="52" applyNumberFormat="1" applyFont="1" applyBorder="1" applyAlignment="1">
      <alignment horizontal="left" vertical="center" wrapText="1"/>
    </xf>
    <xf numFmtId="0" fontId="3" fillId="0" borderId="0" xfId="52" applyNumberFormat="1" applyFont="1" applyBorder="1" applyAlignment="1">
      <alignment horizontal="right" vertical="center" wrapText="1"/>
    </xf>
    <xf numFmtId="0" fontId="0" fillId="0" borderId="0" xfId="52" applyFont="1" applyFill="1" applyAlignment="1"/>
    <xf numFmtId="0" fontId="6" fillId="0" borderId="0" xfId="52" applyNumberFormat="1" applyFont="1" applyBorder="1" applyAlignment="1">
      <alignment horizontal="left" vertical="center" wrapText="1"/>
    </xf>
    <xf numFmtId="0" fontId="7" fillId="0" borderId="0" xfId="52" applyNumberFormat="1" applyFont="1" applyBorder="1" applyAlignment="1">
      <alignment horizontal="center" vertical="center" wrapText="1"/>
    </xf>
    <xf numFmtId="2" fontId="3" fillId="0" borderId="1" xfId="52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2" fontId="3" fillId="0" borderId="1" xfId="52" applyNumberFormat="1" applyFont="1" applyFill="1" applyBorder="1" applyAlignment="1">
      <alignment horizontal="right" vertical="center" wrapText="1" shrinkToFit="1"/>
    </xf>
    <xf numFmtId="0" fontId="3" fillId="0" borderId="5" xfId="52" applyNumberFormat="1" applyFont="1" applyFill="1" applyBorder="1" applyAlignment="1">
      <alignment horizontal="center" vertical="center" wrapText="1"/>
    </xf>
    <xf numFmtId="0" fontId="3" fillId="0" borderId="7" xfId="52" applyNumberFormat="1" applyFont="1" applyFill="1" applyBorder="1" applyAlignment="1">
      <alignment horizontal="center" vertical="center" wrapText="1"/>
    </xf>
    <xf numFmtId="1" fontId="3" fillId="0" borderId="1" xfId="52" applyNumberFormat="1" applyFont="1" applyFill="1" applyBorder="1" applyAlignment="1">
      <alignment horizontal="right" vertical="center" wrapText="1" shrinkToFit="1"/>
    </xf>
    <xf numFmtId="177" fontId="9" fillId="0" borderId="0" xfId="0" applyNumberFormat="1" applyFont="1" applyFill="1" applyBorder="1" applyAlignment="1">
      <alignment vertical="center"/>
    </xf>
    <xf numFmtId="177" fontId="10" fillId="0" borderId="0" xfId="54" applyNumberFormat="1" applyFont="1" applyFill="1" applyAlignment="1">
      <alignment horizontal="center" vertical="center"/>
    </xf>
    <xf numFmtId="177" fontId="11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vertical="center" wrapText="1"/>
    </xf>
    <xf numFmtId="177" fontId="12" fillId="0" borderId="0" xfId="54" applyNumberFormat="1" applyFont="1" applyFill="1" applyAlignment="1" applyProtection="1">
      <alignment horizontal="center" vertical="center"/>
      <protection locked="0"/>
    </xf>
    <xf numFmtId="177" fontId="13" fillId="0" borderId="0" xfId="54" applyNumberFormat="1" applyFont="1" applyFill="1" applyAlignment="1" applyProtection="1">
      <alignment horizontal="center" vertical="center"/>
      <protection locked="0"/>
    </xf>
    <xf numFmtId="177" fontId="13" fillId="0" borderId="0" xfId="54" applyNumberFormat="1" applyFont="1" applyFill="1" applyAlignment="1" applyProtection="1">
      <alignment horizontal="right" vertical="center"/>
      <protection locked="0"/>
    </xf>
    <xf numFmtId="177" fontId="13" fillId="0" borderId="0" xfId="54" applyNumberFormat="1" applyFont="1" applyFill="1" applyAlignment="1" applyProtection="1">
      <alignment horizontal="center" vertical="center" wrapText="1"/>
      <protection locked="0"/>
    </xf>
    <xf numFmtId="177" fontId="11" fillId="0" borderId="0" xfId="54" applyNumberFormat="1" applyFont="1" applyFill="1" applyAlignment="1" applyProtection="1">
      <alignment horizontal="left" vertical="center"/>
      <protection locked="0"/>
    </xf>
    <xf numFmtId="177" fontId="14" fillId="0" borderId="0" xfId="54" applyNumberFormat="1" applyFont="1" applyFill="1" applyAlignment="1" applyProtection="1">
      <alignment horizontal="left" vertical="center"/>
      <protection locked="0"/>
    </xf>
    <xf numFmtId="177" fontId="14" fillId="0" borderId="0" xfId="54" applyNumberFormat="1" applyFont="1" applyFill="1" applyAlignment="1" applyProtection="1">
      <alignment horizontal="right" vertical="center"/>
      <protection locked="0"/>
    </xf>
    <xf numFmtId="177" fontId="14" fillId="0" borderId="0" xfId="54" applyNumberFormat="1" applyFont="1" applyFill="1" applyAlignment="1" applyProtection="1">
      <alignment horizontal="left" vertical="center" wrapText="1"/>
      <protection locked="0"/>
    </xf>
    <xf numFmtId="177" fontId="12" fillId="0" borderId="0" xfId="54" applyNumberFormat="1" applyFont="1" applyFill="1" applyAlignment="1">
      <alignment horizontal="center" vertical="center"/>
    </xf>
    <xf numFmtId="177" fontId="11" fillId="0" borderId="0" xfId="0" applyNumberFormat="1" applyFont="1" applyFill="1" applyBorder="1" applyAlignment="1" applyProtection="1">
      <alignment vertical="center"/>
      <protection locked="0"/>
    </xf>
    <xf numFmtId="177" fontId="11" fillId="0" borderId="0" xfId="54" applyNumberFormat="1" applyFont="1" applyFill="1" applyAlignment="1" applyProtection="1">
      <alignment vertical="center"/>
      <protection locked="0"/>
    </xf>
    <xf numFmtId="177" fontId="11" fillId="0" borderId="0" xfId="0" applyNumberFormat="1" applyFont="1" applyFill="1" applyBorder="1" applyAlignment="1" applyProtection="1">
      <alignment vertical="center" wrapText="1"/>
      <protection locked="0"/>
    </xf>
    <xf numFmtId="177" fontId="11" fillId="0" borderId="14" xfId="54" applyNumberFormat="1" applyFont="1" applyFill="1" applyBorder="1" applyAlignment="1" applyProtection="1">
      <alignment horizontal="center" vertical="center"/>
      <protection locked="0"/>
    </xf>
    <xf numFmtId="177" fontId="11" fillId="0" borderId="15" xfId="54" applyNumberFormat="1" applyFont="1" applyFill="1" applyBorder="1" applyAlignment="1" applyProtection="1">
      <alignment horizontal="center" vertical="center"/>
      <protection locked="0"/>
    </xf>
    <xf numFmtId="177" fontId="11" fillId="0" borderId="15" xfId="54" applyNumberFormat="1" applyFont="1" applyFill="1" applyBorder="1" applyAlignment="1" applyProtection="1">
      <alignment horizontal="center" vertical="center" wrapText="1"/>
      <protection locked="0"/>
    </xf>
    <xf numFmtId="177" fontId="11" fillId="0" borderId="1" xfId="54" applyNumberFormat="1" applyFont="1" applyFill="1" applyBorder="1" applyAlignment="1" applyProtection="1">
      <alignment horizontal="center" vertical="center" wrapText="1"/>
      <protection locked="0"/>
    </xf>
    <xf numFmtId="177" fontId="14" fillId="0" borderId="1" xfId="54" applyNumberFormat="1" applyFont="1" applyFill="1" applyBorder="1" applyAlignment="1" applyProtection="1">
      <alignment horizontal="center" vertical="center" wrapText="1"/>
      <protection locked="0"/>
    </xf>
    <xf numFmtId="177" fontId="14" fillId="0" borderId="1" xfId="54" applyNumberFormat="1" applyFont="1" applyFill="1" applyBorder="1" applyAlignment="1" applyProtection="1">
      <alignment horizontal="right" vertical="center" wrapText="1"/>
      <protection locked="0"/>
    </xf>
    <xf numFmtId="177" fontId="10" fillId="0" borderId="0" xfId="54" applyNumberFormat="1" applyFont="1" applyFill="1" applyBorder="1" applyAlignment="1">
      <alignment horizontal="center" vertical="center"/>
    </xf>
    <xf numFmtId="177" fontId="14" fillId="0" borderId="7" xfId="54" applyNumberFormat="1" applyFont="1" applyFill="1" applyBorder="1" applyAlignment="1" applyProtection="1">
      <alignment horizontal="center" vertical="center"/>
      <protection locked="0"/>
    </xf>
    <xf numFmtId="177" fontId="14" fillId="0" borderId="1" xfId="54" applyNumberFormat="1" applyFont="1" applyFill="1" applyBorder="1" applyAlignment="1" applyProtection="1">
      <alignment horizontal="center" vertical="center"/>
      <protection locked="0"/>
    </xf>
    <xf numFmtId="177" fontId="9" fillId="0" borderId="7" xfId="53" applyNumberFormat="1" applyFont="1" applyFill="1" applyBorder="1" applyAlignment="1" applyProtection="1">
      <alignment horizontal="center" vertical="center"/>
      <protection locked="0"/>
    </xf>
    <xf numFmtId="177" fontId="10" fillId="0" borderId="1" xfId="53" applyNumberFormat="1" applyFont="1" applyFill="1" applyBorder="1" applyAlignment="1" applyProtection="1">
      <alignment horizontal="center" vertical="center"/>
      <protection locked="0"/>
    </xf>
    <xf numFmtId="177" fontId="15" fillId="0" borderId="1" xfId="53" applyNumberFormat="1" applyFont="1" applyFill="1" applyBorder="1" applyAlignment="1" applyProtection="1">
      <alignment horizontal="center" vertical="center"/>
      <protection locked="0"/>
    </xf>
    <xf numFmtId="177" fontId="9" fillId="0" borderId="1" xfId="53" applyNumberFormat="1" applyFont="1" applyFill="1" applyBorder="1" applyAlignment="1" applyProtection="1">
      <alignment horizontal="center" vertical="center"/>
      <protection locked="0"/>
    </xf>
    <xf numFmtId="177" fontId="10" fillId="0" borderId="1" xfId="53" applyNumberFormat="1" applyFont="1" applyFill="1" applyBorder="1" applyAlignment="1" applyProtection="1">
      <alignment horizontal="right" vertical="center"/>
      <protection locked="0"/>
    </xf>
    <xf numFmtId="177" fontId="10" fillId="0" borderId="1" xfId="53" applyNumberFormat="1" applyFont="1" applyFill="1" applyBorder="1" applyAlignment="1" applyProtection="1">
      <alignment vertical="center" wrapText="1"/>
      <protection locked="0"/>
    </xf>
    <xf numFmtId="177" fontId="10" fillId="0" borderId="0" xfId="53" applyNumberFormat="1" applyFont="1" applyFill="1" applyBorder="1" applyAlignment="1">
      <alignment vertical="center"/>
    </xf>
    <xf numFmtId="177" fontId="10" fillId="0" borderId="0" xfId="53" applyNumberFormat="1" applyFont="1" applyFill="1" applyBorder="1" applyAlignment="1" applyProtection="1">
      <alignment horizontal="right" vertical="center"/>
      <protection locked="0"/>
    </xf>
    <xf numFmtId="177" fontId="11" fillId="0" borderId="1" xfId="53" applyNumberFormat="1" applyFont="1" applyFill="1" applyBorder="1" applyAlignment="1" applyProtection="1">
      <alignment horizontal="center" vertical="center"/>
      <protection locked="0"/>
    </xf>
    <xf numFmtId="177" fontId="11" fillId="0" borderId="1" xfId="53" applyNumberFormat="1" applyFont="1" applyFill="1" applyBorder="1" applyAlignment="1" applyProtection="1">
      <alignment vertical="center"/>
      <protection locked="0"/>
    </xf>
    <xf numFmtId="177" fontId="14" fillId="0" borderId="1" xfId="53" applyNumberFormat="1" applyFont="1" applyFill="1" applyBorder="1" applyAlignment="1" applyProtection="1">
      <alignment horizontal="right" vertical="center"/>
      <protection locked="0"/>
    </xf>
    <xf numFmtId="177" fontId="11" fillId="0" borderId="1" xfId="53" applyNumberFormat="1" applyFont="1" applyFill="1" applyBorder="1" applyAlignment="1" applyProtection="1">
      <alignment horizontal="left" vertical="center"/>
      <protection locked="0"/>
    </xf>
    <xf numFmtId="177" fontId="14" fillId="0" borderId="1" xfId="53" applyNumberFormat="1" applyFont="1" applyFill="1" applyBorder="1" applyAlignment="1" applyProtection="1">
      <alignment horizontal="center" vertical="center"/>
      <protection locked="0"/>
    </xf>
    <xf numFmtId="49" fontId="11" fillId="0" borderId="1" xfId="53" applyNumberFormat="1" applyFont="1" applyFill="1" applyBorder="1" applyAlignment="1" applyProtection="1">
      <alignment horizontal="center" vertical="center"/>
      <protection locked="0"/>
    </xf>
    <xf numFmtId="177" fontId="16" fillId="0" borderId="1" xfId="53" applyNumberFormat="1" applyFont="1" applyFill="1" applyBorder="1" applyAlignment="1" applyProtection="1">
      <alignment horizontal="center" vertical="center"/>
      <protection locked="0"/>
    </xf>
    <xf numFmtId="178" fontId="14" fillId="0" borderId="1" xfId="53" applyNumberFormat="1" applyFont="1" applyFill="1" applyBorder="1" applyAlignment="1" applyProtection="1">
      <alignment horizontal="center" vertical="center"/>
      <protection locked="0"/>
    </xf>
    <xf numFmtId="177" fontId="10" fillId="0" borderId="0" xfId="53" applyNumberFormat="1" applyFont="1" applyFill="1" applyAlignment="1">
      <alignment vertical="center"/>
    </xf>
    <xf numFmtId="177" fontId="10" fillId="0" borderId="0" xfId="53" applyNumberFormat="1" applyFont="1" applyFill="1" applyAlignment="1" applyProtection="1">
      <alignment horizontal="right" vertical="center"/>
      <protection locked="0"/>
    </xf>
    <xf numFmtId="177" fontId="14" fillId="0" borderId="0" xfId="53" applyNumberFormat="1" applyFont="1" applyFill="1" applyAlignment="1">
      <alignment vertical="center"/>
    </xf>
    <xf numFmtId="177" fontId="11" fillId="0" borderId="1" xfId="55" applyNumberFormat="1" applyFont="1" applyFill="1" applyBorder="1" applyAlignment="1" applyProtection="1">
      <alignment vertical="center"/>
      <protection locked="0"/>
    </xf>
    <xf numFmtId="177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10" fillId="0" borderId="7" xfId="53" applyNumberFormat="1" applyFont="1" applyFill="1" applyBorder="1" applyAlignment="1" applyProtection="1">
      <alignment horizontal="center" vertical="center"/>
      <protection locked="0"/>
    </xf>
    <xf numFmtId="177" fontId="11" fillId="0" borderId="1" xfId="0" applyNumberFormat="1" applyFont="1" applyFill="1" applyBorder="1" applyAlignment="1" applyProtection="1">
      <alignment vertical="center"/>
      <protection locked="0"/>
    </xf>
    <xf numFmtId="177" fontId="14" fillId="2" borderId="0" xfId="53" applyNumberFormat="1" applyFont="1" applyFill="1" applyAlignment="1">
      <alignment vertical="center"/>
    </xf>
    <xf numFmtId="177" fontId="11" fillId="0" borderId="1" xfId="53" applyNumberFormat="1" applyFont="1" applyFill="1" applyBorder="1" applyAlignment="1" applyProtection="1">
      <alignment vertical="center" wrapText="1"/>
      <protection locked="0"/>
    </xf>
    <xf numFmtId="177" fontId="9" fillId="0" borderId="16" xfId="53" applyNumberFormat="1" applyFont="1" applyFill="1" applyBorder="1" applyAlignment="1" applyProtection="1">
      <alignment horizontal="center" vertical="center"/>
      <protection locked="0"/>
    </xf>
    <xf numFmtId="177" fontId="11" fillId="0" borderId="17" xfId="53" applyNumberFormat="1" applyFont="1" applyFill="1" applyBorder="1" applyAlignment="1" applyProtection="1">
      <alignment horizontal="center" vertical="center"/>
      <protection locked="0"/>
    </xf>
    <xf numFmtId="179" fontId="10" fillId="0" borderId="1" xfId="53" applyNumberFormat="1" applyFont="1" applyFill="1" applyBorder="1" applyAlignment="1" applyProtection="1">
      <alignment horizontal="right" vertical="center"/>
      <protection locked="0"/>
    </xf>
    <xf numFmtId="177" fontId="14" fillId="0" borderId="1" xfId="53" applyNumberFormat="1" applyFont="1" applyFill="1" applyBorder="1" applyAlignment="1" applyProtection="1">
      <alignment vertical="center" wrapText="1"/>
      <protection locked="0"/>
    </xf>
    <xf numFmtId="177" fontId="11" fillId="0" borderId="0" xfId="0" applyNumberFormat="1" applyFont="1" applyFill="1" applyBorder="1" applyAlignment="1">
      <alignment horizontal="center" vertical="center" wrapText="1"/>
    </xf>
    <xf numFmtId="177" fontId="9" fillId="0" borderId="0" xfId="54" applyNumberFormat="1" applyFont="1" applyFill="1" applyAlignment="1">
      <alignment vertical="center"/>
    </xf>
    <xf numFmtId="177" fontId="10" fillId="0" borderId="0" xfId="54" applyNumberFormat="1" applyFont="1" applyFill="1" applyAlignment="1">
      <alignment vertical="center"/>
    </xf>
    <xf numFmtId="177" fontId="10" fillId="0" borderId="0" xfId="54" applyNumberFormat="1" applyFont="1" applyFill="1" applyAlignment="1">
      <alignment horizontal="right" vertical="center"/>
    </xf>
    <xf numFmtId="177" fontId="10" fillId="0" borderId="0" xfId="54" applyNumberFormat="1" applyFont="1" applyFill="1" applyAlignment="1">
      <alignment horizontal="center" vertical="center" wrapText="1"/>
    </xf>
    <xf numFmtId="177" fontId="10" fillId="0" borderId="0" xfId="54" applyNumberFormat="1" applyFont="1" applyFill="1" applyAlignment="1">
      <alignment horizontal="left" vertical="center"/>
    </xf>
    <xf numFmtId="177" fontId="11" fillId="0" borderId="0" xfId="54" applyNumberFormat="1" applyFont="1" applyFill="1" applyAlignment="1">
      <alignment horizontal="center" vertical="center" wrapText="1"/>
    </xf>
    <xf numFmtId="177" fontId="11" fillId="0" borderId="0" xfId="54" applyNumberFormat="1" applyFont="1" applyAlignment="1">
      <alignment horizontal="center" vertical="center" wrapText="1"/>
    </xf>
    <xf numFmtId="177" fontId="11" fillId="0" borderId="0" xfId="54" applyNumberFormat="1" applyFont="1" applyAlignment="1">
      <alignment horizontal="center" vertical="center"/>
    </xf>
    <xf numFmtId="177" fontId="11" fillId="0" borderId="0" xfId="54" applyNumberFormat="1" applyFont="1" applyAlignment="1">
      <alignment horizontal="right" vertical="center"/>
    </xf>
    <xf numFmtId="177" fontId="11" fillId="3" borderId="0" xfId="54" applyNumberFormat="1" applyFont="1" applyFill="1" applyAlignment="1">
      <alignment horizontal="center" vertical="center"/>
    </xf>
    <xf numFmtId="177" fontId="17" fillId="0" borderId="18" xfId="0" applyNumberFormat="1" applyFont="1" applyFill="1" applyBorder="1" applyAlignment="1">
      <alignment horizontal="left" vertical="center"/>
    </xf>
    <xf numFmtId="177" fontId="17" fillId="0" borderId="19" xfId="0" applyNumberFormat="1" applyFont="1" applyFill="1" applyBorder="1" applyAlignment="1">
      <alignment horizontal="left" vertical="center"/>
    </xf>
    <xf numFmtId="177" fontId="17" fillId="0" borderId="19" xfId="0" applyNumberFormat="1" applyFont="1" applyFill="1" applyBorder="1" applyAlignment="1">
      <alignment horizontal="right" vertical="center"/>
    </xf>
    <xf numFmtId="177" fontId="17" fillId="0" borderId="20" xfId="0" applyNumberFormat="1" applyFont="1" applyFill="1" applyBorder="1" applyAlignment="1">
      <alignment horizontal="left" vertical="center"/>
    </xf>
    <xf numFmtId="177" fontId="11" fillId="0" borderId="21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horizontal="center" vertical="center"/>
    </xf>
    <xf numFmtId="177" fontId="11" fillId="0" borderId="22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Border="1" applyAlignment="1">
      <alignment vertical="center"/>
    </xf>
    <xf numFmtId="177" fontId="19" fillId="0" borderId="0" xfId="0" applyNumberFormat="1" applyFont="1" applyFill="1" applyBorder="1" applyAlignment="1">
      <alignment vertical="center"/>
    </xf>
    <xf numFmtId="177" fontId="11" fillId="0" borderId="21" xfId="0" applyNumberFormat="1" applyFont="1" applyFill="1" applyBorder="1" applyAlignment="1">
      <alignment vertical="center"/>
    </xf>
    <xf numFmtId="177" fontId="11" fillId="0" borderId="0" xfId="3" applyNumberFormat="1" applyFont="1" applyFill="1" applyBorder="1" applyAlignment="1">
      <alignment vertical="center"/>
    </xf>
    <xf numFmtId="177" fontId="11" fillId="0" borderId="0" xfId="3" applyNumberFormat="1" applyFont="1" applyFill="1" applyBorder="1" applyAlignment="1">
      <alignment horizontal="right" vertical="center"/>
    </xf>
    <xf numFmtId="177" fontId="11" fillId="0" borderId="0" xfId="3" applyNumberFormat="1" applyFont="1" applyFill="1" applyBorder="1" applyAlignment="1">
      <alignment horizontal="center" vertical="center"/>
    </xf>
    <xf numFmtId="177" fontId="9" fillId="0" borderId="2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22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vertical="center"/>
    </xf>
    <xf numFmtId="177" fontId="20" fillId="4" borderId="22" xfId="0" applyNumberFormat="1" applyFont="1" applyFill="1" applyBorder="1" applyAlignment="1">
      <alignment horizontal="right" vertical="center"/>
    </xf>
    <xf numFmtId="177" fontId="21" fillId="0" borderId="23" xfId="0" applyNumberFormat="1" applyFont="1" applyFill="1" applyBorder="1" applyAlignment="1">
      <alignment vertical="center"/>
    </xf>
    <xf numFmtId="177" fontId="11" fillId="0" borderId="24" xfId="0" applyNumberFormat="1" applyFont="1" applyFill="1" applyBorder="1" applyAlignment="1">
      <alignment horizontal="right" vertical="center"/>
    </xf>
    <xf numFmtId="177" fontId="11" fillId="0" borderId="24" xfId="0" applyNumberFormat="1" applyFont="1" applyFill="1" applyBorder="1" applyAlignment="1">
      <alignment vertical="center"/>
    </xf>
    <xf numFmtId="177" fontId="11" fillId="0" borderId="24" xfId="0" applyNumberFormat="1" applyFont="1" applyFill="1" applyBorder="1" applyAlignment="1">
      <alignment horizontal="center" vertical="center"/>
    </xf>
    <xf numFmtId="177" fontId="11" fillId="0" borderId="25" xfId="0" applyNumberFormat="1" applyFont="1" applyFill="1" applyBorder="1" applyAlignment="1">
      <alignment horizontal="right" vertical="center"/>
    </xf>
    <xf numFmtId="177" fontId="17" fillId="0" borderId="26" xfId="54" applyNumberFormat="1" applyFont="1" applyFill="1" applyBorder="1" applyAlignment="1">
      <alignment horizontal="left" vertical="center"/>
    </xf>
    <xf numFmtId="177" fontId="17" fillId="0" borderId="27" xfId="54" applyNumberFormat="1" applyFont="1" applyFill="1" applyBorder="1" applyAlignment="1">
      <alignment horizontal="left" vertical="center"/>
    </xf>
    <xf numFmtId="177" fontId="17" fillId="0" borderId="27" xfId="54" applyNumberFormat="1" applyFont="1" applyFill="1" applyBorder="1" applyAlignment="1">
      <alignment vertical="center"/>
    </xf>
    <xf numFmtId="177" fontId="17" fillId="0" borderId="27" xfId="54" applyNumberFormat="1" applyFont="1" applyFill="1" applyBorder="1" applyAlignment="1">
      <alignment horizontal="center" vertical="center"/>
    </xf>
    <xf numFmtId="177" fontId="17" fillId="0" borderId="27" xfId="54" applyNumberFormat="1" applyFont="1" applyFill="1" applyBorder="1" applyAlignment="1">
      <alignment horizontal="right" vertical="center"/>
    </xf>
    <xf numFmtId="177" fontId="22" fillId="0" borderId="28" xfId="0" applyNumberFormat="1" applyFont="1" applyFill="1" applyBorder="1" applyAlignment="1">
      <alignment horizontal="right" vertical="center"/>
    </xf>
    <xf numFmtId="177" fontId="9" fillId="0" borderId="29" xfId="54" applyNumberFormat="1" applyFont="1" applyFill="1" applyBorder="1" applyAlignment="1">
      <alignment vertical="center"/>
    </xf>
    <xf numFmtId="177" fontId="9" fillId="0" borderId="0" xfId="54" applyNumberFormat="1" applyFont="1" applyFill="1" applyBorder="1" applyAlignment="1">
      <alignment vertical="center"/>
    </xf>
    <xf numFmtId="177" fontId="9" fillId="0" borderId="0" xfId="54" applyNumberFormat="1" applyFont="1" applyFill="1" applyBorder="1" applyAlignment="1">
      <alignment horizontal="center" vertical="center"/>
    </xf>
    <xf numFmtId="177" fontId="9" fillId="0" borderId="0" xfId="54" applyNumberFormat="1" applyFont="1" applyFill="1" applyBorder="1" applyAlignment="1">
      <alignment horizontal="right" vertical="center"/>
    </xf>
    <xf numFmtId="177" fontId="11" fillId="0" borderId="30" xfId="0" applyNumberFormat="1" applyFont="1" applyFill="1" applyBorder="1" applyAlignment="1">
      <alignment horizontal="right" vertical="center"/>
    </xf>
    <xf numFmtId="177" fontId="9" fillId="0" borderId="29" xfId="0" applyNumberFormat="1" applyFont="1" applyFill="1" applyBorder="1" applyAlignment="1" applyProtection="1">
      <alignment horizontal="center" vertical="center"/>
      <protection locked="0"/>
    </xf>
    <xf numFmtId="177" fontId="9" fillId="0" borderId="0" xfId="0" applyNumberFormat="1" applyFont="1" applyFill="1" applyBorder="1" applyAlignment="1" applyProtection="1">
      <alignment horizontal="center" vertical="center"/>
      <protection locked="0"/>
    </xf>
    <xf numFmtId="177" fontId="9" fillId="0" borderId="0" xfId="0" applyNumberFormat="1" applyFont="1" applyFill="1" applyBorder="1" applyAlignment="1" applyProtection="1">
      <alignment horizontal="right" vertical="center"/>
      <protection locked="0"/>
    </xf>
    <xf numFmtId="177" fontId="23" fillId="0" borderId="0" xfId="0" applyNumberFormat="1" applyFont="1" applyFill="1" applyBorder="1" applyAlignment="1" applyProtection="1">
      <alignment horizontal="center" vertical="center"/>
      <protection locked="0"/>
    </xf>
    <xf numFmtId="177" fontId="23" fillId="0" borderId="0" xfId="0" applyNumberFormat="1" applyFont="1" applyFill="1" applyBorder="1" applyAlignment="1" applyProtection="1">
      <alignment horizontal="right" vertical="center"/>
      <protection locked="0"/>
    </xf>
    <xf numFmtId="177" fontId="9" fillId="2" borderId="31" xfId="0" applyNumberFormat="1" applyFont="1" applyFill="1" applyBorder="1" applyAlignment="1" applyProtection="1">
      <alignment horizontal="center" vertical="center"/>
      <protection locked="0"/>
    </xf>
    <xf numFmtId="177" fontId="9" fillId="0" borderId="23" xfId="0" applyNumberFormat="1" applyFont="1" applyFill="1" applyBorder="1" applyAlignment="1" applyProtection="1">
      <alignment horizontal="center" vertical="center"/>
    </xf>
    <xf numFmtId="177" fontId="9" fillId="0" borderId="31" xfId="0" applyNumberFormat="1" applyFont="1" applyFill="1" applyBorder="1" applyAlignment="1" applyProtection="1">
      <alignment horizontal="center" vertical="center"/>
      <protection locked="0"/>
    </xf>
    <xf numFmtId="177" fontId="9" fillId="0" borderId="31" xfId="0" applyNumberFormat="1" applyFont="1" applyFill="1" applyBorder="1" applyAlignment="1" applyProtection="1">
      <alignment horizontal="right" vertical="center"/>
      <protection locked="0"/>
    </xf>
    <xf numFmtId="177" fontId="9" fillId="5" borderId="23" xfId="0" applyNumberFormat="1" applyFont="1" applyFill="1" applyBorder="1" applyAlignment="1" applyProtection="1">
      <alignment horizontal="center" vertical="center"/>
    </xf>
    <xf numFmtId="177" fontId="11" fillId="0" borderId="29" xfId="0" applyNumberFormat="1" applyFont="1" applyFill="1" applyBorder="1" applyAlignment="1" applyProtection="1">
      <alignment horizontal="left" vertical="center"/>
      <protection locked="0"/>
    </xf>
    <xf numFmtId="177" fontId="11" fillId="0" borderId="0" xfId="0" applyNumberFormat="1" applyFont="1" applyFill="1" applyBorder="1" applyAlignment="1" applyProtection="1">
      <alignment horizontal="center" vertical="center"/>
      <protection locked="0"/>
    </xf>
    <xf numFmtId="177" fontId="11" fillId="0" borderId="0" xfId="0" applyNumberFormat="1" applyFont="1" applyFill="1" applyBorder="1" applyAlignment="1" applyProtection="1">
      <alignment horizontal="right" vertical="center"/>
      <protection locked="0"/>
    </xf>
    <xf numFmtId="177" fontId="11" fillId="0" borderId="29" xfId="0" applyNumberFormat="1" applyFont="1" applyFill="1" applyBorder="1" applyAlignment="1" applyProtection="1">
      <alignment horizontal="center" vertical="center"/>
      <protection locked="0"/>
    </xf>
    <xf numFmtId="177" fontId="11" fillId="0" borderId="32" xfId="0" applyNumberFormat="1" applyFont="1" applyFill="1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 applyAlignment="1">
      <alignment horizontal="center"/>
    </xf>
    <xf numFmtId="177" fontId="11" fillId="0" borderId="0" xfId="0" applyNumberFormat="1" applyFont="1" applyFill="1" applyBorder="1" applyAlignment="1"/>
    <xf numFmtId="177" fontId="11" fillId="0" borderId="33" xfId="0" applyNumberFormat="1" applyFont="1" applyFill="1" applyBorder="1" applyAlignment="1">
      <alignment horizontal="center" vertical="center"/>
    </xf>
    <xf numFmtId="177" fontId="11" fillId="0" borderId="34" xfId="0" applyNumberFormat="1" applyFont="1" applyFill="1" applyBorder="1" applyAlignment="1">
      <alignment horizontal="right" vertical="center"/>
    </xf>
    <xf numFmtId="177" fontId="11" fillId="0" borderId="34" xfId="0" applyNumberFormat="1" applyFont="1" applyFill="1" applyBorder="1" applyAlignment="1">
      <alignment vertical="center"/>
    </xf>
    <xf numFmtId="177" fontId="11" fillId="0" borderId="35" xfId="0" applyNumberFormat="1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horizontal="right" vertical="center"/>
    </xf>
    <xf numFmtId="177" fontId="11" fillId="0" borderId="11" xfId="0" applyNumberFormat="1" applyFont="1" applyFill="1" applyBorder="1" applyAlignment="1">
      <alignment vertical="center"/>
    </xf>
    <xf numFmtId="177" fontId="11" fillId="0" borderId="29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centerContinuous" vertical="center"/>
    </xf>
    <xf numFmtId="177" fontId="11" fillId="0" borderId="23" xfId="0" applyNumberFormat="1" applyFont="1" applyFill="1" applyBorder="1" applyAlignment="1" applyProtection="1">
      <alignment horizontal="left" vertical="center"/>
      <protection locked="0"/>
    </xf>
    <xf numFmtId="177" fontId="11" fillId="0" borderId="24" xfId="0" applyNumberFormat="1" applyFont="1" applyFill="1" applyBorder="1" applyAlignment="1" applyProtection="1">
      <alignment horizontal="center" vertical="center"/>
      <protection locked="0"/>
    </xf>
    <xf numFmtId="177" fontId="11" fillId="0" borderId="24" xfId="0" applyNumberFormat="1" applyFont="1" applyFill="1" applyBorder="1" applyAlignment="1" applyProtection="1">
      <alignment vertical="center"/>
      <protection locked="0"/>
    </xf>
    <xf numFmtId="177" fontId="11" fillId="0" borderId="24" xfId="0" applyNumberFormat="1" applyFont="1" applyFill="1" applyBorder="1" applyAlignment="1" applyProtection="1">
      <alignment horizontal="right" vertical="center"/>
      <protection locked="0"/>
    </xf>
    <xf numFmtId="177" fontId="17" fillId="0" borderId="18" xfId="54" applyNumberFormat="1" applyFont="1" applyFill="1" applyBorder="1" applyAlignment="1">
      <alignment horizontal="left" vertical="center"/>
    </xf>
    <xf numFmtId="177" fontId="17" fillId="0" borderId="19" xfId="54" applyNumberFormat="1" applyFont="1" applyFill="1" applyBorder="1" applyAlignment="1">
      <alignment horizontal="left" vertical="center"/>
    </xf>
    <xf numFmtId="177" fontId="17" fillId="0" borderId="19" xfId="54" applyNumberFormat="1" applyFont="1" applyFill="1" applyBorder="1" applyAlignment="1">
      <alignment horizontal="right" vertical="center"/>
    </xf>
    <xf numFmtId="177" fontId="17" fillId="0" borderId="20" xfId="54" applyNumberFormat="1" applyFont="1" applyFill="1" applyBorder="1" applyAlignment="1">
      <alignment horizontal="left" vertical="center"/>
    </xf>
    <xf numFmtId="177" fontId="9" fillId="0" borderId="21" xfId="54" applyNumberFormat="1" applyFont="1" applyFill="1" applyBorder="1" applyAlignment="1">
      <alignment vertical="center"/>
    </xf>
    <xf numFmtId="177" fontId="9" fillId="0" borderId="22" xfId="54" applyNumberFormat="1" applyFont="1" applyFill="1" applyBorder="1" applyAlignment="1">
      <alignment horizontal="right" vertical="center"/>
    </xf>
    <xf numFmtId="177" fontId="17" fillId="0" borderId="36" xfId="0" applyNumberFormat="1" applyFont="1" applyFill="1" applyBorder="1" applyAlignment="1">
      <alignment horizontal="left" vertical="center"/>
    </xf>
    <xf numFmtId="177" fontId="17" fillId="0" borderId="37" xfId="0" applyNumberFormat="1" applyFont="1" applyFill="1" applyBorder="1" applyAlignment="1">
      <alignment horizontal="left" vertical="center"/>
    </xf>
    <xf numFmtId="177" fontId="17" fillId="0" borderId="37" xfId="0" applyNumberFormat="1" applyFont="1" applyFill="1" applyBorder="1" applyAlignment="1">
      <alignment horizontal="right" vertical="center"/>
    </xf>
    <xf numFmtId="177" fontId="17" fillId="0" borderId="37" xfId="0" applyNumberFormat="1" applyFont="1" applyFill="1" applyBorder="1" applyAlignment="1">
      <alignment horizontal="center" vertical="center"/>
    </xf>
    <xf numFmtId="177" fontId="22" fillId="0" borderId="37" xfId="0" applyNumberFormat="1" applyFont="1" applyFill="1" applyBorder="1" applyAlignment="1">
      <alignment vertical="center"/>
    </xf>
    <xf numFmtId="177" fontId="22" fillId="0" borderId="38" xfId="0" applyNumberFormat="1" applyFont="1" applyFill="1" applyBorder="1" applyAlignment="1">
      <alignment vertical="center"/>
    </xf>
    <xf numFmtId="177" fontId="11" fillId="0" borderId="11" xfId="0" applyNumberFormat="1" applyFont="1" applyFill="1" applyBorder="1" applyAlignment="1">
      <alignment horizontal="center" vertical="center"/>
    </xf>
    <xf numFmtId="177" fontId="11" fillId="0" borderId="11" xfId="0" applyNumberFormat="1" applyFont="1" applyFill="1" applyBorder="1" applyAlignment="1">
      <alignment horizontal="center" vertical="center" wrapText="1"/>
    </xf>
    <xf numFmtId="177" fontId="11" fillId="0" borderId="30" xfId="0" applyNumberFormat="1" applyFont="1" applyFill="1" applyBorder="1" applyAlignment="1">
      <alignment vertical="center"/>
    </xf>
    <xf numFmtId="177" fontId="11" fillId="0" borderId="39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right" vertical="center"/>
    </xf>
    <xf numFmtId="177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right" vertical="center"/>
    </xf>
    <xf numFmtId="177" fontId="9" fillId="2" borderId="1" xfId="0" applyNumberFormat="1" applyFont="1" applyFill="1" applyBorder="1" applyAlignment="1" applyProtection="1">
      <alignment horizontal="right" vertical="center"/>
      <protection locked="0"/>
    </xf>
    <xf numFmtId="177" fontId="9" fillId="4" borderId="1" xfId="0" applyNumberFormat="1" applyFont="1" applyFill="1" applyBorder="1" applyAlignment="1">
      <alignment horizontal="center" vertical="center"/>
    </xf>
    <xf numFmtId="177" fontId="21" fillId="0" borderId="40" xfId="0" applyNumberFormat="1" applyFont="1" applyFill="1" applyBorder="1" applyAlignment="1">
      <alignment vertical="center"/>
    </xf>
    <xf numFmtId="177" fontId="21" fillId="0" borderId="41" xfId="0" applyNumberFormat="1" applyFont="1" applyFill="1" applyBorder="1" applyAlignment="1">
      <alignment vertical="center"/>
    </xf>
    <xf numFmtId="177" fontId="21" fillId="0" borderId="41" xfId="0" applyNumberFormat="1" applyFont="1" applyFill="1" applyBorder="1" applyAlignment="1">
      <alignment horizontal="right" vertical="center"/>
    </xf>
    <xf numFmtId="177" fontId="21" fillId="0" borderId="41" xfId="0" applyNumberFormat="1" applyFont="1" applyFill="1" applyBorder="1" applyAlignment="1">
      <alignment horizontal="center" vertical="center"/>
    </xf>
    <xf numFmtId="177" fontId="21" fillId="0" borderId="42" xfId="0" applyNumberFormat="1" applyFont="1" applyFill="1" applyBorder="1" applyAlignment="1">
      <alignment vertical="center"/>
    </xf>
    <xf numFmtId="177" fontId="17" fillId="0" borderId="23" xfId="56" applyNumberFormat="1" applyFont="1" applyFill="1" applyBorder="1" applyAlignment="1">
      <alignment horizontal="left" vertical="center"/>
    </xf>
    <xf numFmtId="177" fontId="17" fillId="0" borderId="24" xfId="56" applyNumberFormat="1" applyFont="1" applyFill="1" applyBorder="1" applyAlignment="1">
      <alignment horizontal="left" vertical="center"/>
    </xf>
    <xf numFmtId="177" fontId="22" fillId="0" borderId="24" xfId="56" applyNumberFormat="1" applyFont="1" applyFill="1" applyBorder="1" applyAlignment="1">
      <alignment horizontal="right" vertical="center"/>
    </xf>
    <xf numFmtId="177" fontId="17" fillId="0" borderId="24" xfId="56" applyNumberFormat="1" applyFont="1" applyFill="1" applyBorder="1" applyAlignment="1" applyProtection="1">
      <alignment horizontal="center" vertical="center"/>
      <protection locked="0"/>
    </xf>
    <xf numFmtId="177" fontId="22" fillId="0" borderId="24" xfId="56" applyNumberFormat="1" applyFont="1" applyFill="1" applyBorder="1" applyAlignment="1">
      <alignment horizontal="left" vertical="center"/>
    </xf>
    <xf numFmtId="177" fontId="22" fillId="0" borderId="25" xfId="3" applyNumberFormat="1" applyFont="1" applyFill="1" applyBorder="1" applyAlignment="1">
      <alignment horizontal="left" vertical="center" wrapText="1"/>
    </xf>
    <xf numFmtId="177" fontId="23" fillId="0" borderId="29" xfId="49" applyNumberFormat="1" applyFont="1" applyBorder="1">
      <alignment vertical="center"/>
    </xf>
    <xf numFmtId="177" fontId="11" fillId="0" borderId="30" xfId="0" applyNumberFormat="1" applyFont="1" applyFill="1" applyBorder="1" applyAlignment="1">
      <alignment vertical="center" wrapText="1"/>
    </xf>
    <xf numFmtId="177" fontId="23" fillId="0" borderId="0" xfId="49" applyNumberFormat="1" applyFont="1" applyBorder="1">
      <alignment vertical="center"/>
    </xf>
    <xf numFmtId="177" fontId="23" fillId="0" borderId="0" xfId="49" applyNumberFormat="1" applyFont="1" applyBorder="1" applyAlignment="1">
      <alignment horizontal="right" vertical="center"/>
    </xf>
    <xf numFmtId="177" fontId="23" fillId="0" borderId="0" xfId="49" applyNumberFormat="1" applyFont="1" applyBorder="1" applyAlignment="1">
      <alignment horizontal="center" vertical="center"/>
    </xf>
    <xf numFmtId="177" fontId="23" fillId="0" borderId="30" xfId="49" applyNumberFormat="1" applyFont="1" applyBorder="1" applyAlignment="1">
      <alignment vertical="center" wrapText="1"/>
    </xf>
    <xf numFmtId="177" fontId="11" fillId="0" borderId="5" xfId="56" applyNumberFormat="1" applyFont="1" applyFill="1" applyBorder="1" applyAlignment="1">
      <alignment horizontal="right" vertical="center"/>
    </xf>
    <xf numFmtId="177" fontId="11" fillId="0" borderId="7" xfId="56" applyNumberFormat="1" applyFont="1" applyFill="1" applyBorder="1" applyAlignment="1">
      <alignment horizontal="right" vertical="center"/>
    </xf>
    <xf numFmtId="177" fontId="11" fillId="0" borderId="1" xfId="56" applyNumberFormat="1" applyFont="1" applyFill="1" applyBorder="1" applyAlignment="1">
      <alignment horizontal="right" vertical="center" wrapText="1"/>
    </xf>
    <xf numFmtId="177" fontId="11" fillId="0" borderId="1" xfId="56" applyNumberFormat="1" applyFont="1" applyFill="1" applyBorder="1" applyAlignment="1">
      <alignment horizontal="right" vertical="center"/>
    </xf>
    <xf numFmtId="177" fontId="11" fillId="0" borderId="0" xfId="56" applyNumberFormat="1" applyFont="1" applyFill="1" applyBorder="1" applyAlignment="1">
      <alignment horizontal="right" vertical="center"/>
    </xf>
    <xf numFmtId="177" fontId="11" fillId="0" borderId="29" xfId="51" applyNumberFormat="1" applyFont="1" applyFill="1" applyBorder="1" applyAlignment="1">
      <alignment horizontal="left" vertical="center"/>
    </xf>
    <xf numFmtId="177" fontId="14" fillId="0" borderId="1" xfId="56" applyNumberFormat="1" applyFont="1" applyFill="1" applyBorder="1" applyAlignment="1">
      <alignment horizontal="right" vertical="center"/>
    </xf>
    <xf numFmtId="178" fontId="11" fillId="0" borderId="1" xfId="56" applyNumberFormat="1" applyFont="1" applyFill="1" applyBorder="1" applyAlignment="1">
      <alignment horizontal="right" vertical="center"/>
    </xf>
    <xf numFmtId="177" fontId="11" fillId="0" borderId="0" xfId="51" applyNumberFormat="1" applyFont="1" applyFill="1" applyBorder="1" applyAlignment="1">
      <alignment horizontal="center" vertical="center"/>
    </xf>
    <xf numFmtId="177" fontId="11" fillId="0" borderId="0" xfId="51" applyNumberFormat="1" applyFont="1" applyFill="1" applyBorder="1" applyAlignment="1">
      <alignment horizontal="right" vertical="center"/>
    </xf>
    <xf numFmtId="177" fontId="11" fillId="0" borderId="30" xfId="51" applyNumberFormat="1" applyFont="1" applyFill="1" applyBorder="1" applyAlignment="1">
      <alignment horizontal="right" vertical="center" wrapText="1"/>
    </xf>
    <xf numFmtId="177" fontId="21" fillId="0" borderId="29" xfId="0" applyNumberFormat="1" applyFont="1" applyFill="1" applyBorder="1" applyAlignment="1">
      <alignment horizontal="center"/>
    </xf>
    <xf numFmtId="177" fontId="24" fillId="0" borderId="0" xfId="56" applyNumberFormat="1" applyFont="1" applyFill="1" applyBorder="1" applyAlignment="1">
      <alignment horizontal="center" vertical="center"/>
    </xf>
    <xf numFmtId="177" fontId="24" fillId="0" borderId="0" xfId="56" applyNumberFormat="1" applyFont="1" applyFill="1" applyBorder="1" applyAlignment="1">
      <alignment horizontal="right" vertical="center"/>
    </xf>
    <xf numFmtId="177" fontId="11" fillId="0" borderId="30" xfId="0" applyNumberFormat="1" applyFont="1" applyFill="1" applyBorder="1" applyAlignment="1">
      <alignment wrapText="1"/>
    </xf>
    <xf numFmtId="177" fontId="9" fillId="0" borderId="1" xfId="56" applyNumberFormat="1" applyFont="1" applyFill="1" applyBorder="1" applyAlignment="1">
      <alignment horizontal="right" vertical="center"/>
    </xf>
    <xf numFmtId="177" fontId="21" fillId="0" borderId="0" xfId="0" applyNumberFormat="1" applyFont="1" applyFill="1" applyBorder="1" applyAlignment="1">
      <alignment horizontal="center"/>
    </xf>
    <xf numFmtId="177" fontId="21" fillId="0" borderId="0" xfId="56" applyNumberFormat="1" applyFont="1" applyFill="1" applyBorder="1" applyAlignment="1">
      <alignment horizontal="left" vertical="center"/>
    </xf>
    <xf numFmtId="177" fontId="11" fillId="0" borderId="0" xfId="56" applyNumberFormat="1" applyFont="1" applyFill="1" applyBorder="1" applyAlignment="1">
      <alignment horizontal="center" vertical="center"/>
    </xf>
    <xf numFmtId="177" fontId="21" fillId="0" borderId="23" xfId="56" applyNumberFormat="1" applyFont="1" applyFill="1" applyBorder="1" applyAlignment="1">
      <alignment horizontal="left" vertical="center"/>
    </xf>
    <xf numFmtId="177" fontId="11" fillId="0" borderId="24" xfId="56" applyNumberFormat="1" applyFont="1" applyFill="1" applyBorder="1" applyAlignment="1">
      <alignment horizontal="right" vertical="center"/>
    </xf>
    <xf numFmtId="177" fontId="11" fillId="0" borderId="25" xfId="0" applyNumberFormat="1" applyFont="1" applyFill="1" applyBorder="1" applyAlignment="1">
      <alignment vertical="center" wrapText="1"/>
    </xf>
    <xf numFmtId="177" fontId="9" fillId="0" borderId="1" xfId="56" applyNumberFormat="1" applyFont="1" applyFill="1" applyBorder="1" applyAlignment="1" applyProtection="1">
      <alignment horizontal="right" vertical="center"/>
      <protection locked="0"/>
    </xf>
    <xf numFmtId="177" fontId="17" fillId="0" borderId="23" xfId="0" applyNumberFormat="1" applyFont="1" applyFill="1" applyBorder="1" applyAlignment="1">
      <alignment horizontal="left" vertical="center"/>
    </xf>
    <xf numFmtId="177" fontId="17" fillId="0" borderId="24" xfId="0" applyNumberFormat="1" applyFont="1" applyFill="1" applyBorder="1" applyAlignment="1">
      <alignment horizontal="left" vertical="center"/>
    </xf>
    <xf numFmtId="177" fontId="17" fillId="0" borderId="24" xfId="0" applyNumberFormat="1" applyFont="1" applyFill="1" applyBorder="1" applyAlignment="1">
      <alignment horizontal="right" vertical="center"/>
    </xf>
    <xf numFmtId="177" fontId="17" fillId="0" borderId="25" xfId="0" applyNumberFormat="1" applyFont="1" applyFill="1" applyBorder="1" applyAlignment="1">
      <alignment horizontal="left" vertical="center"/>
    </xf>
    <xf numFmtId="177" fontId="22" fillId="0" borderId="27" xfId="0" applyNumberFormat="1" applyFont="1" applyFill="1" applyBorder="1" applyAlignment="1">
      <alignment vertical="center"/>
    </xf>
    <xf numFmtId="177" fontId="22" fillId="0" borderId="28" xfId="0" applyNumberFormat="1" applyFont="1" applyFill="1" applyBorder="1" applyAlignment="1">
      <alignment vertical="center" wrapText="1"/>
    </xf>
    <xf numFmtId="177" fontId="14" fillId="0" borderId="26" xfId="0" applyNumberFormat="1" applyFont="1" applyFill="1" applyBorder="1" applyAlignment="1">
      <alignment vertical="center"/>
    </xf>
    <xf numFmtId="177" fontId="14" fillId="0" borderId="27" xfId="0" applyNumberFormat="1" applyFont="1" applyFill="1" applyBorder="1" applyAlignment="1">
      <alignment horizontal="center" vertical="center"/>
    </xf>
    <xf numFmtId="177" fontId="11" fillId="0" borderId="27" xfId="0" applyNumberFormat="1" applyFont="1" applyFill="1" applyBorder="1" applyAlignment="1">
      <alignment vertical="center"/>
    </xf>
    <xf numFmtId="177" fontId="14" fillId="2" borderId="27" xfId="0" applyNumberFormat="1" applyFont="1" applyFill="1" applyBorder="1" applyAlignment="1">
      <alignment horizontal="right" vertical="center"/>
    </xf>
    <xf numFmtId="177" fontId="14" fillId="0" borderId="27" xfId="0" applyNumberFormat="1" applyFont="1" applyFill="1" applyBorder="1" applyAlignment="1">
      <alignment vertical="center"/>
    </xf>
    <xf numFmtId="177" fontId="14" fillId="0" borderId="27" xfId="0" applyNumberFormat="1" applyFont="1" applyFill="1" applyBorder="1" applyAlignment="1">
      <alignment horizontal="right" vertical="center"/>
    </xf>
    <xf numFmtId="177" fontId="14" fillId="0" borderId="28" xfId="0" applyNumberFormat="1" applyFont="1" applyFill="1" applyBorder="1" applyAlignment="1">
      <alignment vertical="center"/>
    </xf>
    <xf numFmtId="177" fontId="14" fillId="0" borderId="30" xfId="0" applyNumberFormat="1" applyFont="1" applyFill="1" applyBorder="1" applyAlignment="1">
      <alignment vertical="center" wrapText="1"/>
    </xf>
    <xf numFmtId="177" fontId="14" fillId="0" borderId="29" xfId="0" applyNumberFormat="1" applyFont="1" applyFill="1" applyBorder="1" applyAlignment="1">
      <alignment vertical="center"/>
    </xf>
    <xf numFmtId="177" fontId="14" fillId="2" borderId="0" xfId="0" applyNumberFormat="1" applyFont="1" applyFill="1" applyBorder="1" applyAlignment="1">
      <alignment vertical="center"/>
    </xf>
    <xf numFmtId="177" fontId="14" fillId="0" borderId="30" xfId="0" applyNumberFormat="1" applyFont="1" applyFill="1" applyBorder="1" applyAlignment="1">
      <alignment vertical="center"/>
    </xf>
    <xf numFmtId="177" fontId="14" fillId="0" borderId="0" xfId="3" applyNumberFormat="1" applyFont="1" applyFill="1" applyBorder="1" applyAlignment="1">
      <alignment vertical="center"/>
    </xf>
    <xf numFmtId="177" fontId="14" fillId="0" borderId="0" xfId="3" applyNumberFormat="1" applyFont="1" applyFill="1" applyBorder="1" applyAlignment="1">
      <alignment horizontal="right" vertical="center"/>
    </xf>
    <xf numFmtId="177" fontId="14" fillId="0" borderId="0" xfId="3" applyNumberFormat="1" applyFont="1" applyFill="1" applyBorder="1" applyAlignment="1">
      <alignment horizontal="center" vertical="center"/>
    </xf>
    <xf numFmtId="177" fontId="14" fillId="0" borderId="0" xfId="54" applyNumberFormat="1" applyFont="1" applyFill="1" applyBorder="1" applyAlignment="1"/>
    <xf numFmtId="177" fontId="14" fillId="0" borderId="30" xfId="54" applyNumberFormat="1" applyFont="1" applyFill="1" applyBorder="1" applyAlignment="1">
      <alignment wrapText="1"/>
    </xf>
    <xf numFmtId="177" fontId="11" fillId="0" borderId="32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/>
    </xf>
    <xf numFmtId="177" fontId="11" fillId="0" borderId="43" xfId="0" applyNumberFormat="1" applyFont="1" applyFill="1" applyBorder="1" applyAlignment="1">
      <alignment horizontal="center" vertical="center"/>
    </xf>
    <xf numFmtId="177" fontId="14" fillId="0" borderId="33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vertical="center"/>
    </xf>
    <xf numFmtId="177" fontId="14" fillId="0" borderId="1" xfId="0" applyNumberFormat="1" applyFont="1" applyFill="1" applyBorder="1" applyAlignment="1">
      <alignment vertical="center"/>
    </xf>
    <xf numFmtId="177" fontId="14" fillId="0" borderId="44" xfId="0" applyNumberFormat="1" applyFont="1" applyFill="1" applyBorder="1" applyAlignment="1">
      <alignment vertical="center"/>
    </xf>
    <xf numFmtId="177" fontId="14" fillId="0" borderId="43" xfId="0" applyNumberFormat="1" applyFont="1" applyFill="1" applyBorder="1" applyAlignment="1">
      <alignment vertical="center"/>
    </xf>
    <xf numFmtId="177" fontId="14" fillId="4" borderId="0" xfId="54" applyNumberFormat="1" applyFont="1" applyFill="1" applyBorder="1" applyAlignment="1"/>
    <xf numFmtId="177" fontId="14" fillId="6" borderId="1" xfId="0" applyNumberFormat="1" applyFont="1" applyFill="1" applyBorder="1" applyAlignment="1">
      <alignment horizontal="center" vertical="center"/>
    </xf>
    <xf numFmtId="177" fontId="14" fillId="6" borderId="43" xfId="0" applyNumberFormat="1" applyFont="1" applyFill="1" applyBorder="1" applyAlignment="1">
      <alignment vertical="center"/>
    </xf>
    <xf numFmtId="177" fontId="14" fillId="0" borderId="35" xfId="0" applyNumberFormat="1" applyFont="1" applyFill="1" applyBorder="1" applyAlignment="1">
      <alignment horizontal="center" vertical="center" wrapText="1"/>
    </xf>
    <xf numFmtId="177" fontId="10" fillId="0" borderId="40" xfId="54" applyNumberFormat="1" applyFont="1" applyFill="1" applyBorder="1" applyAlignment="1">
      <alignment horizontal="center" vertical="center"/>
    </xf>
    <xf numFmtId="177" fontId="10" fillId="0" borderId="41" xfId="54" applyNumberFormat="1" applyFont="1" applyFill="1" applyBorder="1" applyAlignment="1">
      <alignment horizontal="center" vertical="center"/>
    </xf>
    <xf numFmtId="177" fontId="10" fillId="0" borderId="41" xfId="54" applyNumberFormat="1" applyFont="1" applyFill="1" applyBorder="1" applyAlignment="1">
      <alignment horizontal="left" vertical="center"/>
    </xf>
    <xf numFmtId="177" fontId="10" fillId="0" borderId="41" xfId="54" applyNumberFormat="1" applyFont="1" applyFill="1" applyBorder="1" applyAlignment="1">
      <alignment horizontal="right" vertical="center"/>
    </xf>
    <xf numFmtId="177" fontId="10" fillId="0" borderId="42" xfId="54" applyNumberFormat="1" applyFont="1" applyFill="1" applyBorder="1" applyAlignment="1">
      <alignment horizontal="center" vertical="center"/>
    </xf>
    <xf numFmtId="177" fontId="10" fillId="0" borderId="42" xfId="54" applyNumberFormat="1" applyFont="1" applyFill="1" applyBorder="1" applyAlignment="1">
      <alignment horizontal="center" vertical="center" wrapText="1"/>
    </xf>
    <xf numFmtId="177" fontId="17" fillId="0" borderId="23" xfId="54" applyNumberFormat="1" applyFont="1" applyFill="1" applyBorder="1" applyAlignment="1">
      <alignment horizontal="left" vertical="center"/>
    </xf>
    <xf numFmtId="177" fontId="17" fillId="0" borderId="24" xfId="54" applyNumberFormat="1" applyFont="1" applyFill="1" applyBorder="1" applyAlignment="1">
      <alignment horizontal="left" vertical="center"/>
    </xf>
    <xf numFmtId="177" fontId="17" fillId="0" borderId="24" xfId="54" applyNumberFormat="1" applyFont="1" applyFill="1" applyBorder="1" applyAlignment="1">
      <alignment vertical="center"/>
    </xf>
    <xf numFmtId="177" fontId="17" fillId="0" borderId="24" xfId="54" applyNumberFormat="1" applyFont="1" applyFill="1" applyBorder="1" applyAlignment="1">
      <alignment horizontal="center" vertical="center"/>
    </xf>
    <xf numFmtId="177" fontId="17" fillId="0" borderId="24" xfId="54" applyNumberFormat="1" applyFont="1" applyFill="1" applyBorder="1" applyAlignment="1">
      <alignment horizontal="right" vertical="center"/>
    </xf>
    <xf numFmtId="177" fontId="22" fillId="0" borderId="25" xfId="0" applyNumberFormat="1" applyFont="1" applyFill="1" applyBorder="1" applyAlignment="1">
      <alignment horizontal="right" vertical="center"/>
    </xf>
    <xf numFmtId="177" fontId="11" fillId="0" borderId="29" xfId="0" applyNumberFormat="1" applyFont="1" applyFill="1" applyBorder="1" applyAlignment="1">
      <alignment horizontal="center" vertical="center"/>
    </xf>
    <xf numFmtId="177" fontId="11" fillId="0" borderId="26" xfId="57" applyNumberFormat="1" applyFont="1" applyFill="1" applyBorder="1" applyAlignment="1">
      <alignment vertical="center"/>
    </xf>
    <xf numFmtId="177" fontId="17" fillId="0" borderId="45" xfId="57" applyNumberFormat="1" applyFont="1" applyFill="1" applyBorder="1" applyAlignment="1">
      <alignment horizontal="center" vertical="center"/>
    </xf>
    <xf numFmtId="177" fontId="17" fillId="0" borderId="45" xfId="57" applyNumberFormat="1" applyFont="1" applyFill="1" applyBorder="1" applyAlignment="1">
      <alignment horizontal="right" vertical="center"/>
    </xf>
    <xf numFmtId="177" fontId="17" fillId="0" borderId="45" xfId="57" applyNumberFormat="1" applyFont="1" applyFill="1" applyBorder="1" applyAlignment="1">
      <alignment horizontal="center" vertical="center" wrapText="1"/>
    </xf>
    <xf numFmtId="177" fontId="9" fillId="0" borderId="27" xfId="57" applyNumberFormat="1" applyFont="1" applyFill="1" applyBorder="1" applyAlignment="1">
      <alignment horizontal="center" vertical="center"/>
    </xf>
    <xf numFmtId="177" fontId="11" fillId="0" borderId="27" xfId="57" applyNumberFormat="1" applyFont="1" applyFill="1" applyBorder="1" applyAlignment="1">
      <alignment vertical="center"/>
    </xf>
    <xf numFmtId="177" fontId="11" fillId="0" borderId="28" xfId="57" applyNumberFormat="1" applyFont="1" applyFill="1" applyBorder="1" applyAlignment="1">
      <alignment vertical="center"/>
    </xf>
    <xf numFmtId="177" fontId="11" fillId="0" borderId="0" xfId="57" applyNumberFormat="1" applyFont="1" applyFill="1" applyAlignment="1">
      <alignment vertical="center"/>
    </xf>
    <xf numFmtId="177" fontId="11" fillId="0" borderId="29" xfId="57" applyNumberFormat="1" applyFont="1" applyFill="1" applyBorder="1" applyAlignment="1">
      <alignment horizontal="center" vertical="center"/>
    </xf>
    <xf numFmtId="177" fontId="11" fillId="0" borderId="1" xfId="57" applyNumberFormat="1" applyFont="1" applyFill="1" applyBorder="1" applyAlignment="1">
      <alignment horizontal="center" vertical="center"/>
    </xf>
    <xf numFmtId="177" fontId="11" fillId="0" borderId="1" xfId="57" applyNumberFormat="1" applyFont="1" applyFill="1" applyBorder="1" applyAlignment="1">
      <alignment horizontal="center" vertical="center" wrapText="1"/>
    </xf>
    <xf numFmtId="177" fontId="11" fillId="0" borderId="1" xfId="57" applyNumberFormat="1" applyFont="1" applyFill="1" applyBorder="1" applyAlignment="1">
      <alignment horizontal="right" vertical="center" wrapText="1"/>
    </xf>
    <xf numFmtId="177" fontId="11" fillId="0" borderId="0" xfId="57" applyNumberFormat="1" applyFont="1" applyFill="1" applyBorder="1" applyAlignment="1">
      <alignment horizontal="center" vertical="center"/>
    </xf>
    <xf numFmtId="177" fontId="11" fillId="0" borderId="30" xfId="57" applyNumberFormat="1" applyFont="1" applyFill="1" applyBorder="1" applyAlignment="1">
      <alignment horizontal="center" vertical="center"/>
    </xf>
    <xf numFmtId="177" fontId="11" fillId="0" borderId="0" xfId="57" applyNumberFormat="1" applyFont="1" applyFill="1" applyAlignment="1">
      <alignment horizontal="center" vertical="center"/>
    </xf>
    <xf numFmtId="177" fontId="11" fillId="0" borderId="1" xfId="57" applyNumberFormat="1" applyFont="1" applyFill="1" applyBorder="1" applyAlignment="1">
      <alignment horizontal="right" vertical="center"/>
    </xf>
    <xf numFmtId="177" fontId="11" fillId="0" borderId="29" xfId="57" applyNumberFormat="1" applyFont="1" applyFill="1" applyBorder="1" applyAlignment="1">
      <alignment vertical="center"/>
    </xf>
    <xf numFmtId="177" fontId="11" fillId="0" borderId="1" xfId="57" applyNumberFormat="1" applyFont="1" applyFill="1" applyBorder="1" applyAlignment="1">
      <alignment vertical="center"/>
    </xf>
    <xf numFmtId="177" fontId="11" fillId="0" borderId="1" xfId="57" applyNumberFormat="1" applyFont="1" applyFill="1" applyBorder="1" applyAlignment="1">
      <alignment vertical="center" wrapText="1"/>
    </xf>
    <xf numFmtId="177" fontId="11" fillId="0" borderId="0" xfId="57" applyNumberFormat="1" applyFont="1" applyFill="1" applyBorder="1" applyAlignment="1">
      <alignment vertical="center"/>
    </xf>
    <xf numFmtId="177" fontId="11" fillId="0" borderId="30" xfId="57" applyNumberFormat="1" applyFont="1" applyFill="1" applyBorder="1" applyAlignment="1">
      <alignment vertical="center"/>
    </xf>
    <xf numFmtId="177" fontId="9" fillId="0" borderId="1" xfId="57" applyNumberFormat="1" applyFont="1" applyFill="1" applyBorder="1" applyAlignment="1">
      <alignment vertical="center"/>
    </xf>
    <xf numFmtId="177" fontId="11" fillId="0" borderId="0" xfId="57" applyNumberFormat="1" applyFont="1" applyFill="1" applyBorder="1" applyAlignment="1">
      <alignment horizontal="center" vertical="center" wrapText="1"/>
    </xf>
    <xf numFmtId="177" fontId="11" fillId="0" borderId="0" xfId="57" applyNumberFormat="1" applyFont="1" applyFill="1" applyBorder="1" applyAlignment="1">
      <alignment horizontal="right" vertical="center"/>
    </xf>
    <xf numFmtId="177" fontId="11" fillId="0" borderId="0" xfId="57" applyNumberFormat="1" applyFont="1" applyFill="1" applyBorder="1" applyAlignment="1">
      <alignment vertical="center" wrapText="1"/>
    </xf>
    <xf numFmtId="177" fontId="9" fillId="0" borderId="0" xfId="57" applyNumberFormat="1" applyFont="1" applyFill="1" applyBorder="1" applyAlignment="1">
      <alignment vertical="center"/>
    </xf>
    <xf numFmtId="177" fontId="9" fillId="0" borderId="0" xfId="3" applyNumberFormat="1" applyFont="1" applyFill="1" applyBorder="1" applyAlignment="1">
      <alignment vertical="center"/>
    </xf>
    <xf numFmtId="177" fontId="11" fillId="0" borderId="29" xfId="50" applyNumberFormat="1" applyFont="1" applyFill="1" applyBorder="1" applyAlignment="1">
      <alignment vertical="center"/>
    </xf>
    <xf numFmtId="177" fontId="11" fillId="0" borderId="0" xfId="50" applyNumberFormat="1" applyFont="1" applyFill="1" applyBorder="1" applyAlignment="1">
      <alignment vertical="center"/>
    </xf>
    <xf numFmtId="177" fontId="11" fillId="0" borderId="0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Border="1" applyAlignment="1">
      <alignment horizontal="right" vertical="center"/>
    </xf>
    <xf numFmtId="177" fontId="11" fillId="0" borderId="0" xfId="50" applyNumberFormat="1" applyFont="1" applyFill="1" applyBorder="1" applyAlignment="1">
      <alignment horizontal="right" vertical="center" wrapText="1"/>
    </xf>
    <xf numFmtId="177" fontId="11" fillId="0" borderId="30" xfId="50" applyNumberFormat="1" applyFont="1" applyFill="1" applyBorder="1" applyAlignment="1">
      <alignment vertical="center"/>
    </xf>
    <xf numFmtId="177" fontId="11" fillId="0" borderId="0" xfId="50" applyNumberFormat="1" applyFont="1" applyFill="1" applyAlignment="1">
      <alignment vertical="center"/>
    </xf>
    <xf numFmtId="177" fontId="11" fillId="0" borderId="29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Border="1" applyAlignment="1" applyProtection="1">
      <alignment horizontal="center" vertical="center"/>
      <protection locked="0"/>
    </xf>
    <xf numFmtId="177" fontId="11" fillId="0" borderId="0" xfId="50" applyNumberFormat="1" applyFont="1" applyFill="1" applyBorder="1" applyAlignment="1" applyProtection="1">
      <alignment horizontal="right" vertical="center"/>
      <protection locked="0"/>
    </xf>
    <xf numFmtId="177" fontId="11" fillId="0" borderId="0" xfId="50" applyNumberFormat="1" applyFont="1" applyFill="1" applyBorder="1" applyAlignment="1" applyProtection="1">
      <alignment horizontal="center" vertical="center" wrapText="1"/>
      <protection locked="0"/>
    </xf>
    <xf numFmtId="177" fontId="11" fillId="0" borderId="1" xfId="50" applyNumberFormat="1" applyFont="1" applyFill="1" applyBorder="1" applyAlignment="1" applyProtection="1">
      <alignment horizontal="center" vertical="center"/>
      <protection locked="0"/>
    </xf>
    <xf numFmtId="177" fontId="11" fillId="0" borderId="1" xfId="50" applyNumberFormat="1" applyFont="1" applyFill="1" applyBorder="1" applyAlignment="1" applyProtection="1">
      <alignment horizontal="center" vertical="center"/>
    </xf>
    <xf numFmtId="177" fontId="11" fillId="0" borderId="1" xfId="50" applyNumberFormat="1" applyFont="1" applyFill="1" applyBorder="1" applyAlignment="1" applyProtection="1">
      <alignment horizontal="center" vertical="center" wrapText="1"/>
      <protection locked="0"/>
    </xf>
    <xf numFmtId="177" fontId="11" fillId="0" borderId="0" xfId="50" applyNumberFormat="1" applyFont="1" applyFill="1" applyBorder="1" applyAlignment="1" applyProtection="1">
      <alignment vertical="center"/>
      <protection locked="0"/>
    </xf>
    <xf numFmtId="177" fontId="11" fillId="0" borderId="0" xfId="50" applyNumberFormat="1" applyFont="1" applyFill="1" applyBorder="1" applyAlignment="1" applyProtection="1">
      <alignment horizontal="left" vertical="center"/>
      <protection locked="0"/>
    </xf>
    <xf numFmtId="177" fontId="11" fillId="0" borderId="4" xfId="50" applyNumberFormat="1" applyFont="1" applyFill="1" applyBorder="1" applyAlignment="1">
      <alignment horizontal="center" vertical="center"/>
    </xf>
    <xf numFmtId="177" fontId="11" fillId="0" borderId="4" xfId="50" applyNumberFormat="1" applyFont="1" applyFill="1" applyBorder="1" applyAlignment="1">
      <alignment horizontal="right" vertical="center"/>
    </xf>
    <xf numFmtId="177" fontId="9" fillId="0" borderId="0" xfId="50" applyNumberFormat="1" applyFont="1" applyFill="1" applyBorder="1" applyAlignment="1">
      <alignment horizontal="center" vertical="center"/>
    </xf>
    <xf numFmtId="177" fontId="11" fillId="0" borderId="4" xfId="50" applyNumberFormat="1" applyFont="1" applyFill="1" applyBorder="1" applyAlignment="1">
      <alignment horizontal="center" vertical="center" wrapText="1"/>
    </xf>
    <xf numFmtId="177" fontId="9" fillId="0" borderId="0" xfId="50" applyNumberFormat="1" applyFont="1" applyFill="1" applyBorder="1" applyAlignment="1">
      <alignment horizontal="right" vertical="center"/>
    </xf>
    <xf numFmtId="177" fontId="11" fillId="0" borderId="34" xfId="50" applyNumberFormat="1" applyFont="1" applyFill="1" applyBorder="1" applyAlignment="1">
      <alignment horizontal="center" vertical="center"/>
    </xf>
    <xf numFmtId="177" fontId="11" fillId="0" borderId="34" xfId="50" applyNumberFormat="1" applyFont="1" applyFill="1" applyBorder="1" applyAlignment="1">
      <alignment horizontal="right" vertical="center"/>
    </xf>
    <xf numFmtId="177" fontId="11" fillId="0" borderId="34" xfId="50" applyNumberFormat="1" applyFont="1" applyFill="1" applyBorder="1" applyAlignment="1">
      <alignment vertical="center"/>
    </xf>
    <xf numFmtId="177" fontId="11" fillId="0" borderId="34" xfId="50" applyNumberFormat="1" applyFont="1" applyFill="1" applyBorder="1" applyAlignment="1">
      <alignment vertical="center" wrapText="1"/>
    </xf>
    <xf numFmtId="177" fontId="11" fillId="0" borderId="11" xfId="50" applyNumberFormat="1" applyFont="1" applyFill="1" applyBorder="1" applyAlignment="1">
      <alignment horizontal="center" vertical="center"/>
    </xf>
    <xf numFmtId="177" fontId="11" fillId="0" borderId="11" xfId="50" applyNumberFormat="1" applyFont="1" applyFill="1" applyBorder="1" applyAlignment="1">
      <alignment horizontal="right" vertical="center"/>
    </xf>
    <xf numFmtId="177" fontId="11" fillId="0" borderId="11" xfId="50" applyNumberFormat="1" applyFont="1" applyFill="1" applyBorder="1" applyAlignment="1">
      <alignment vertical="center"/>
    </xf>
    <xf numFmtId="177" fontId="11" fillId="0" borderId="11" xfId="50" applyNumberFormat="1" applyFont="1" applyFill="1" applyBorder="1" applyAlignment="1">
      <alignment vertical="center" wrapText="1"/>
    </xf>
    <xf numFmtId="177" fontId="14" fillId="0" borderId="0" xfId="50" applyNumberFormat="1" applyFont="1" applyFill="1" applyBorder="1" applyAlignment="1">
      <alignment vertical="center"/>
    </xf>
    <xf numFmtId="177" fontId="11" fillId="0" borderId="0" xfId="50" applyNumberFormat="1" applyFont="1" applyFill="1" applyBorder="1" applyAlignment="1">
      <alignment vertical="center" wrapText="1"/>
    </xf>
    <xf numFmtId="177" fontId="23" fillId="0" borderId="0" xfId="49" applyNumberFormat="1" applyFont="1" applyBorder="1" applyAlignment="1">
      <alignment vertical="center" wrapText="1"/>
    </xf>
    <xf numFmtId="177" fontId="23" fillId="0" borderId="30" xfId="49" applyNumberFormat="1" applyFont="1" applyBorder="1">
      <alignment vertical="center"/>
    </xf>
    <xf numFmtId="177" fontId="23" fillId="0" borderId="0" xfId="49" applyNumberFormat="1" applyFont="1">
      <alignment vertical="center"/>
    </xf>
    <xf numFmtId="177" fontId="23" fillId="0" borderId="40" xfId="49" applyNumberFormat="1" applyFont="1" applyBorder="1">
      <alignment vertical="center"/>
    </xf>
    <xf numFmtId="177" fontId="23" fillId="0" borderId="41" xfId="49" applyNumberFormat="1" applyFont="1" applyBorder="1">
      <alignment vertical="center"/>
    </xf>
    <xf numFmtId="177" fontId="11" fillId="0" borderId="41" xfId="50" applyNumberFormat="1" applyFont="1" applyFill="1" applyBorder="1" applyAlignment="1" applyProtection="1">
      <alignment horizontal="center" vertical="center"/>
      <protection locked="0"/>
    </xf>
    <xf numFmtId="177" fontId="11" fillId="0" borderId="41" xfId="50" applyNumberFormat="1" applyFont="1" applyFill="1" applyBorder="1" applyAlignment="1" applyProtection="1">
      <alignment horizontal="right" vertical="center"/>
      <protection locked="0"/>
    </xf>
    <xf numFmtId="177" fontId="23" fillId="0" borderId="41" xfId="49" applyNumberFormat="1" applyFont="1" applyBorder="1" applyAlignment="1">
      <alignment vertical="center" wrapText="1"/>
    </xf>
    <xf numFmtId="177" fontId="23" fillId="0" borderId="42" xfId="49" applyNumberFormat="1" applyFont="1" applyBorder="1">
      <alignment vertical="center"/>
    </xf>
    <xf numFmtId="177" fontId="11" fillId="0" borderId="11" xfId="50" applyNumberFormat="1" applyFont="1" applyFill="1" applyBorder="1" applyAlignment="1" applyProtection="1">
      <alignment horizontal="center" vertical="center"/>
      <protection locked="0"/>
    </xf>
    <xf numFmtId="177" fontId="11" fillId="0" borderId="11" xfId="50" applyNumberFormat="1" applyFont="1" applyFill="1" applyBorder="1" applyAlignment="1" applyProtection="1">
      <alignment horizontal="center" vertical="center"/>
    </xf>
    <xf numFmtId="177" fontId="11" fillId="0" borderId="0" xfId="50" applyNumberFormat="1" applyFont="1" applyFill="1" applyAlignment="1" applyProtection="1">
      <alignment horizontal="right" vertical="center"/>
      <protection locked="0"/>
    </xf>
    <xf numFmtId="177" fontId="11" fillId="0" borderId="0" xfId="50" applyNumberFormat="1" applyFont="1" applyFill="1" applyAlignment="1" applyProtection="1">
      <alignment horizontal="center" vertical="center"/>
      <protection locked="0"/>
    </xf>
    <xf numFmtId="177" fontId="23" fillId="0" borderId="0" xfId="49" applyNumberFormat="1" applyFont="1" applyAlignment="1">
      <alignment vertical="center" wrapText="1"/>
    </xf>
    <xf numFmtId="177" fontId="11" fillId="0" borderId="0" xfId="50" applyNumberFormat="1" applyFont="1" applyFill="1" applyAlignment="1">
      <alignment horizontal="center" vertical="center"/>
    </xf>
    <xf numFmtId="177" fontId="14" fillId="0" borderId="0" xfId="50" applyNumberFormat="1" applyFont="1" applyFill="1" applyAlignment="1">
      <alignment vertical="center"/>
    </xf>
    <xf numFmtId="177" fontId="11" fillId="0" borderId="0" xfId="50" applyNumberFormat="1" applyFont="1" applyFill="1" applyAlignment="1">
      <alignment horizontal="right" vertical="center"/>
    </xf>
    <xf numFmtId="177" fontId="23" fillId="0" borderId="0" xfId="49" applyNumberFormat="1" applyFont="1" applyAlignment="1">
      <alignment horizontal="right" vertical="center"/>
    </xf>
    <xf numFmtId="177" fontId="23" fillId="0" borderId="0" xfId="49" applyNumberFormat="1" applyFont="1" applyAlignment="1">
      <alignment horizontal="center" vertical="center"/>
    </xf>
    <xf numFmtId="0" fontId="25" fillId="0" borderId="46" xfId="52" applyNumberFormat="1" applyFont="1" applyBorder="1" applyAlignment="1">
      <alignment horizontal="center" vertical="center" wrapText="1"/>
    </xf>
    <xf numFmtId="0" fontId="25" fillId="0" borderId="47" xfId="52" applyNumberFormat="1" applyFont="1" applyBorder="1" applyAlignment="1">
      <alignment horizontal="center" vertical="center" wrapText="1"/>
    </xf>
    <xf numFmtId="0" fontId="25" fillId="0" borderId="48" xfId="52" applyNumberFormat="1" applyFont="1" applyBorder="1" applyAlignment="1">
      <alignment horizontal="center" vertical="center" wrapText="1"/>
    </xf>
    <xf numFmtId="0" fontId="1" fillId="0" borderId="49" xfId="52" applyNumberFormat="1" applyFont="1" applyBorder="1" applyAlignment="1">
      <alignment horizontal="left" wrapText="1"/>
    </xf>
    <xf numFmtId="0" fontId="1" fillId="0" borderId="12" xfId="52" applyNumberFormat="1" applyFont="1" applyBorder="1" applyAlignment="1">
      <alignment horizontal="left" wrapText="1"/>
    </xf>
    <xf numFmtId="0" fontId="1" fillId="0" borderId="50" xfId="52" applyNumberFormat="1" applyFont="1" applyBorder="1" applyAlignment="1">
      <alignment horizontal="left" wrapText="1"/>
    </xf>
    <xf numFmtId="0" fontId="1" fillId="0" borderId="12" xfId="52" applyFont="1" applyBorder="1" applyAlignment="1">
      <alignment horizontal="center" wrapText="1" shrinkToFit="1"/>
    </xf>
    <xf numFmtId="0" fontId="1" fillId="0" borderId="51" xfId="52" applyNumberFormat="1" applyFont="1" applyBorder="1" applyAlignment="1">
      <alignment horizontal="left" vertical="center" wrapText="1"/>
    </xf>
    <xf numFmtId="0" fontId="1" fillId="0" borderId="51" xfId="52" applyNumberFormat="1" applyFont="1" applyBorder="1" applyAlignment="1">
      <alignment horizontal="left" wrapText="1"/>
    </xf>
    <xf numFmtId="0" fontId="1" fillId="0" borderId="0" xfId="52" applyNumberFormat="1" applyFont="1" applyBorder="1" applyAlignment="1">
      <alignment horizontal="left" wrapText="1"/>
    </xf>
    <xf numFmtId="0" fontId="1" fillId="0" borderId="52" xfId="52" applyNumberFormat="1" applyFont="1" applyBorder="1" applyAlignment="1">
      <alignment horizontal="left" wrapText="1"/>
    </xf>
    <xf numFmtId="0" fontId="1" fillId="0" borderId="53" xfId="52" applyNumberFormat="1" applyFont="1" applyBorder="1" applyAlignment="1">
      <alignment horizontal="left" wrapText="1"/>
    </xf>
    <xf numFmtId="0" fontId="1" fillId="0" borderId="53" xfId="52" applyNumberFormat="1" applyFont="1" applyBorder="1" applyAlignment="1">
      <alignment horizontal="left" vertical="center" wrapText="1"/>
    </xf>
    <xf numFmtId="0" fontId="1" fillId="0" borderId="54" xfId="52" applyNumberFormat="1" applyFont="1" applyBorder="1" applyAlignment="1">
      <alignment horizontal="left" vertical="center" wrapText="1"/>
    </xf>
    <xf numFmtId="177" fontId="11" fillId="0" borderId="1" xfId="54" applyNumberFormat="1" applyFont="1" applyFill="1" applyBorder="1" applyAlignment="1" applyProtection="1" quotePrefix="1">
      <alignment horizontal="center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" xfId="49"/>
    <cellStyle name="常规_概算总表" xfId="50"/>
    <cellStyle name="常规_虹桥综合交通枢纽4座雨水泵站工程(工可)---总表交接2008.06.06" xfId="51"/>
    <cellStyle name="Normal" xfId="52"/>
    <cellStyle name="常规_Sheet1" xfId="53"/>
    <cellStyle name="常规_杨浦大桥" xfId="54"/>
    <cellStyle name="常规_投资估算1" xfId="55"/>
    <cellStyle name="样式 1" xfId="56"/>
    <cellStyle name="常规_投标设计费计算细表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externalLink" Target="externalLinks/externalLink12.xml"/><Relationship Id="rId21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9.xml"/><Relationship Id="rId18" Type="http://schemas.openxmlformats.org/officeDocument/2006/relationships/externalLink" Target="externalLinks/externalLink8.xml"/><Relationship Id="rId17" Type="http://schemas.openxmlformats.org/officeDocument/2006/relationships/externalLink" Target="externalLinks/externalLink7.xml"/><Relationship Id="rId16" Type="http://schemas.openxmlformats.org/officeDocument/2006/relationships/externalLink" Target="externalLinks/externalLink6.xml"/><Relationship Id="rId15" Type="http://schemas.openxmlformats.org/officeDocument/2006/relationships/externalLink" Target="externalLinks/externalLink5.xml"/><Relationship Id="rId14" Type="http://schemas.openxmlformats.org/officeDocument/2006/relationships/externalLink" Target="externalLinks/externalLink4.xml"/><Relationship Id="rId13" Type="http://schemas.openxmlformats.org/officeDocument/2006/relationships/externalLink" Target="externalLinks/externalLink3.xml"/><Relationship Id="rId12" Type="http://schemas.openxmlformats.org/officeDocument/2006/relationships/externalLink" Target="externalLinks/externalLink2.xml"/><Relationship Id="rId11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&#20844;&#36335;&#36896;&#20215;\01&#27010;&#12289;&#39044;&#31639;&#36896;&#20215;\01-&#32769;&#26495;\2022&#39033;&#30446;\05-G324&#19996;&#29615;&#22478;&#36335;&#28467;&#28392;&#33267;&#34081;&#22338;&#27573;&#20844;&#36335;&#24037;&#31243;\&#21021;&#35774;&#20462;&#32534;&#31295;23.3.7\&#26448;&#26009;\ANALYSIS\REGRESS.XLA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TEMP\SUPPLY-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02file\&#30707;&#27934;&#21475;&#26631;&#20070;&#35745;&#3163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wang_lj.gys\&#26700;&#38754;\&#22823;&#33446;&#32447;&#20108;&#26399;12.26\&#24464;&#20806;&#19996;\&#21021;&#35774;\&#40644;&#28006;&#27743;&#24178;&#27969;&#26032;&#22686;&#38450;&#27946;&#24037;&#31243;A2&#26631;\&#27700;&#21033;&#22522;&#30784;&#21333;&#20215;&#65288;A2&#21021;&#35774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wang_lj.gys\&#26700;&#38754;\&#22823;&#33446;&#32447;&#20108;&#26399;12.26\&#22791;&#20221;\&#22791;&#20221;1\&#25307;&#25237;&#26631;\&#21494;&#27053;&#22616;&#27700;&#38392;&#25237;&#26631;\&#27700;&#21033;&#22522;&#30784;&#21333;&#20215;&#65288;&#21494;&#27053;&#2261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xlh\My%20Documents\2007\&#19978;&#28023;&#24066;&#30333;&#40857;&#28207;&#22478;&#24066;&#27745;&#27700;&#22788;&#29702;&#21378;&#27745;&#27877;&#22788;&#29702;&#24037;&#31243;(&#21021;&#35774;)\WINDOWS\TEMP\SUPPLY-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07&#24180;&#24037;&#31243;\02&#20108;&#29615;&#32447;\1#&#21464;&#35745;&#31639;&#2007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yuan_h.gys\LOCALS~1\Temp\user2005year\&#26477;&#24030;&#24066;&#22235;&#22561;&#21378;&#21453;&#21521;&#36755;&#36865;&#24037;&#31243;&#27010;&#31639;08\&#36755;&#36865;&#27893;&#25151;&#22303;&#2431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yh\work\2008\&#37325;&#24198;&#27745;&#27700;&#24037;&#21487;\&#31119;&#27704;&#36130;&#21153;&#35780;&#2021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&#21487;&#30740;\&#24191;&#20013;&#36335;&#27893;&#31449;\1&#39044;&#21487;&#30740;\WINDOWS\TEMP\SUPPLY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2&#21487;&#30740;\&#24191;&#20013;&#36335;&#27893;&#31449;\1&#39044;&#21487;&#30740;\WINDOWS\TEMP\SUPPLY-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4425;&#26725;\My%20Documents\&#21326;&#38738;&#36335;&#39030;&#31649;&#2011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GRES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is.xlm"/>
      <sheetName val="analy"/>
      <sheetName val="Sheet2"/>
      <sheetName val="ANALYSIS"/>
      <sheetName val="Sheet1"/>
      <sheetName val="成本表"/>
      <sheetName val="全部流量"/>
      <sheetName val="国内流量"/>
      <sheetName val="损益表"/>
      <sheetName val="资金应用"/>
      <sheetName val="负债表"/>
      <sheetName val="借款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细格栅"/>
      <sheetName val="配水渠道"/>
      <sheetName val="出水泵房"/>
      <sheetName val="电缆隧道"/>
      <sheetName val="电缆隧道（总量）"/>
      <sheetName val="电缆沟"/>
      <sheetName val="电缆沟（总量）"/>
      <sheetName val="风道"/>
      <sheetName val="风道（总量）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材料单价"/>
      <sheetName val="打印材料"/>
      <sheetName val="砼级配"/>
      <sheetName val="机械"/>
      <sheetName val="机械挖土"/>
      <sheetName val="汽车运土"/>
      <sheetName val="挖淤泥"/>
      <sheetName val="回填土(筑坝）"/>
      <sheetName val="回填土"/>
      <sheetName val="节制闸混凝土"/>
      <sheetName val="素砼垫层"/>
      <sheetName val="碎石垫层1"/>
      <sheetName val="土工布"/>
      <sheetName val="浆砌块石护底"/>
      <sheetName val="灌砌块石护底 "/>
      <sheetName val="灌砌块石护坡"/>
      <sheetName val="素砼格梗"/>
      <sheetName val="防冲槽抛石"/>
      <sheetName val="抛石每增运1KM"/>
      <sheetName val="碎石排水棱体"/>
      <sheetName val="钢筋"/>
      <sheetName val="无纺布铺设"/>
      <sheetName val="机械压实回填"/>
      <sheetName val="三渣垫层 "/>
      <sheetName val="砼运输"/>
      <sheetName val="c25扶垛式挡土墙"/>
      <sheetName val="c25水闸底板"/>
      <sheetName val="c30水闸底板"/>
      <sheetName val="c25胸墙"/>
      <sheetName val="c25直墙"/>
      <sheetName val="c30直墙"/>
      <sheetName val="c25水闸底板2"/>
      <sheetName val="c25护坦"/>
      <sheetName val="c25悬臂式挡土墙墙"/>
      <sheetName val="混凝土预制桩 &lt;=10米"/>
      <sheetName val="混凝土预制桩&gt;10米"/>
      <sheetName val="打预制桩"/>
      <sheetName val="灌注砼"/>
      <sheetName val="船闸混凝土"/>
      <sheetName val="土围堰填筑"/>
      <sheetName val="土围堰拆除"/>
      <sheetName val="伸缩缝"/>
      <sheetName val="橡胶护弦"/>
      <sheetName val="橡胶伸缩缝 "/>
      <sheetName val="PVC排水管"/>
      <sheetName val="草土围堰填筑"/>
      <sheetName val="草土围堰拆除"/>
      <sheetName val="钢板桩围堰"/>
      <sheetName val="钢板桩围堰 (堰高加1米)"/>
      <sheetName val="钢板桩围堰 (桩入土加1米) "/>
      <sheetName val="浆砌块石护坡"/>
      <sheetName val="c20混凝土护脚"/>
      <sheetName val="c25混凝土护脚 "/>
      <sheetName val="浆砌块石挡墙"/>
      <sheetName val="砂砾石基层(15)"/>
      <sheetName val="砂砾石基层(20)"/>
      <sheetName val="混凝土路面(20)"/>
      <sheetName val="混凝土路面(15)"/>
      <sheetName val="沥青路面5"/>
      <sheetName val="沥青路面4"/>
      <sheetName val="沥青碎石"/>
      <sheetName val="泥结碎石路面"/>
      <sheetName val="拆除浆砌块石"/>
      <sheetName val="拆除砖结构"/>
      <sheetName val="拆除钢砼结构"/>
      <sheetName val="c30桥面铺装层"/>
      <sheetName val="预制空心板"/>
      <sheetName val="闸墩"/>
      <sheetName val="桥墩"/>
      <sheetName val="楼梯"/>
      <sheetName val="公路桥"/>
      <sheetName val="工作桥"/>
      <sheetName val="安装定额"/>
      <sheetName val="A1型"/>
      <sheetName val="A2型"/>
      <sheetName val="A3型 "/>
      <sheetName val="A4型 "/>
      <sheetName val="A5型 "/>
      <sheetName val="A6型 "/>
      <sheetName val="A7型 "/>
      <sheetName val="H1型"/>
      <sheetName val="H2型 "/>
      <sheetName val="H3型"/>
      <sheetName val="H4型 "/>
      <sheetName val="A型"/>
      <sheetName val="防汛通道"/>
      <sheetName val="建筑概算(黄浦江)"/>
      <sheetName val="建筑概算(春申塘) "/>
      <sheetName val="建筑概算(六磊塘)"/>
      <sheetName val="建筑概算(俞塘)"/>
      <sheetName val="建筑概算(北横泾) "/>
      <sheetName val="建筑概算(北竹港)"/>
      <sheetName val="建筑概算(北沙港)"/>
      <sheetName val="建筑概算(淀浦河)"/>
      <sheetName val="泵闸(华泾港)1"/>
      <sheetName val="泵闸(工农河)2"/>
      <sheetName val="泵闸(铁路河)3"/>
      <sheetName val="节制闸(六磊塘)4"/>
      <sheetName val="节制闸(俞塘)5"/>
      <sheetName val="节制闸(北横泾)6"/>
      <sheetName val="泵涵闸(和尚浜)7 "/>
      <sheetName val="套闸(北沙港)8"/>
      <sheetName val="节制闸(北竹港)9"/>
      <sheetName val="泵涵闸(华泾浜)10"/>
      <sheetName val="节制闸(塘泗泾) 11"/>
      <sheetName val="节制闸(曹家港)12"/>
      <sheetName val="加高加固(梅陇港)"/>
      <sheetName val="加高加固(横沥港南)"/>
      <sheetName val="加高加固(横沥港北)"/>
      <sheetName val="加高加固(新泾港)"/>
      <sheetName val="加高加固(淀浦河东)"/>
      <sheetName val="机电设备 (2)"/>
      <sheetName val="机电设备"/>
      <sheetName val="金属结构"/>
      <sheetName val="金属结构 (2)"/>
      <sheetName val="总概算 "/>
      <sheetName val="临时工程"/>
      <sheetName val="其他费用"/>
      <sheetName val="材料用量"/>
      <sheetName val="设备费"/>
      <sheetName val="设计费"/>
      <sheetName val="主要工程数量及"/>
      <sheetName val="Sheet1"/>
      <sheetName val="征租地"/>
      <sheetName val="材料"/>
      <sheetName val="设计费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材料单价"/>
      <sheetName val="打印材料"/>
      <sheetName val="砼级配"/>
      <sheetName val="机械"/>
      <sheetName val="机械 (2)"/>
      <sheetName val="机械挖土"/>
      <sheetName val="汽车运土"/>
      <sheetName val="挖淤泥"/>
      <sheetName val="回填土"/>
      <sheetName val="节制闸混凝土"/>
      <sheetName val="素砼垫层"/>
      <sheetName val="碎石垫层1"/>
      <sheetName val="土工布"/>
      <sheetName val="浆砌块石护底"/>
      <sheetName val="素砼格梗"/>
      <sheetName val="防冲槽抛石"/>
      <sheetName val="抛石每增运1KM"/>
      <sheetName val="碎石排水棱体"/>
      <sheetName val="钢筋"/>
      <sheetName val="无纺布铺设"/>
      <sheetName val="机械压实回填"/>
      <sheetName val="三渣垫层 "/>
      <sheetName val="砼运输"/>
      <sheetName val="c25扶垛式挡土墙"/>
      <sheetName val="c25水闸底板"/>
      <sheetName val="c25直墙"/>
      <sheetName val="c25水闸底板2"/>
      <sheetName val="c25护坦"/>
      <sheetName val="c25悬臂式挡土墙墙"/>
      <sheetName val="混凝土预制桩"/>
      <sheetName val="船闸混凝土"/>
      <sheetName val="土围堰填筑"/>
      <sheetName val="土围堰拆除"/>
      <sheetName val="PVC排水管"/>
      <sheetName val="草土围堰填筑"/>
      <sheetName val="草土围堰拆除"/>
      <sheetName val="c30桥面铺装层"/>
      <sheetName val="沥青混凝土桥面铺装"/>
      <sheetName val="公路桥"/>
      <sheetName val="桥墩"/>
      <sheetName val="橡胶止水带"/>
      <sheetName val="橡胶护弦"/>
      <sheetName val="浆砌块石护坡"/>
      <sheetName val="c20混凝土护脚"/>
      <sheetName val="浆砌块石挡墙"/>
      <sheetName val="砂砾石基层"/>
      <sheetName val="沥青路面"/>
      <sheetName val="泥结碎石路面"/>
      <sheetName val="2"/>
      <sheetName val="3"/>
      <sheetName val="4"/>
      <sheetName val="5"/>
      <sheetName val="安装定额"/>
      <sheetName val="6"/>
      <sheetName val="7"/>
      <sheetName val="建筑概算"/>
      <sheetName val="机电设备"/>
      <sheetName val="金属结构"/>
      <sheetName val="总概算 "/>
      <sheetName val="临时工程"/>
      <sheetName val="其他费用"/>
      <sheetName val="材料用量"/>
      <sheetName val="闸设备费"/>
      <sheetName val="Sheet14"/>
      <sheetName val="Sheet15"/>
      <sheetName val="设计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is.xlm"/>
      <sheetName val="analy"/>
      <sheetName val="Sheet2"/>
      <sheetName val="ANALYSIS"/>
      <sheetName val="Sheet1"/>
      <sheetName val="成本表"/>
      <sheetName val="全部流量"/>
      <sheetName val="国内流量"/>
      <sheetName val="损益表"/>
      <sheetName val="资金应用"/>
      <sheetName val="负债表"/>
      <sheetName val="借款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"/>
      <sheetName val="J"/>
      <sheetName val="K"/>
      <sheetName val="L"/>
      <sheetName val="电缆统计"/>
      <sheetName val="一览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输送泵房土建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利息"/>
      <sheetName val="流动资金"/>
      <sheetName val="成本"/>
      <sheetName val="年成本分析"/>
      <sheetName val="现金流量"/>
      <sheetName val="资本金现金流量"/>
      <sheetName val="损益表"/>
      <sheetName val="财务计划"/>
      <sheetName val="资产负债"/>
      <sheetName val="借款偿还"/>
      <sheetName val="财务指标"/>
      <sheetName val="敏感分析1"/>
      <sheetName val="资金来源运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is.xlm"/>
      <sheetName val="analy"/>
      <sheetName val="Sheet2"/>
      <sheetName val="ANALYSIS"/>
      <sheetName val="Sheet1"/>
      <sheetName val="成本表"/>
      <sheetName val="全部流量"/>
      <sheetName val="国内流量"/>
      <sheetName val="损益表"/>
      <sheetName val="资金应用"/>
      <sheetName val="负债表"/>
      <sheetName val="借款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is.xlm"/>
      <sheetName val="analy"/>
      <sheetName val="Sheet2"/>
      <sheetName val="ANALYSIS"/>
      <sheetName val="Sheet1"/>
      <sheetName val="成本表"/>
      <sheetName val="全部流量"/>
      <sheetName val="国内流量"/>
      <sheetName val="损益表"/>
      <sheetName val="资金应用"/>
      <sheetName val="负债表"/>
      <sheetName val="借款表"/>
      <sheetName val="机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二沉池配水井"/>
      <sheetName val="16#"/>
      <sheetName val="17#"/>
      <sheetName val="18#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6"/>
  <sheetViews>
    <sheetView workbookViewId="0">
      <selection activeCell="E5" sqref="E5"/>
    </sheetView>
  </sheetViews>
  <sheetFormatPr defaultColWidth="10.2857142857143" defaultRowHeight="15" outlineLevelCol="4"/>
  <cols>
    <col min="1" max="1" width="18.8571428571429" customWidth="1"/>
    <col min="2" max="2" width="10.0380952380952" customWidth="1"/>
    <col min="3" max="3" width="29.1619047619048" customWidth="1"/>
    <col min="4" max="4" width="11.6666666666667" customWidth="1"/>
    <col min="5" max="5" width="17.3619047619048" customWidth="1"/>
  </cols>
  <sheetData>
    <row r="1" ht="198.4" customHeight="1" spans="1:5">
      <c r="A1" s="368" t="s">
        <v>0</v>
      </c>
      <c r="B1" s="369"/>
      <c r="C1" s="369"/>
      <c r="D1" s="369"/>
      <c r="E1" s="370"/>
    </row>
    <row r="2" ht="33.35" customHeight="1" spans="1:5">
      <c r="A2" s="371" t="s">
        <v>1</v>
      </c>
      <c r="B2" s="372" t="s">
        <v>2</v>
      </c>
      <c r="C2" s="372"/>
      <c r="D2" s="372"/>
      <c r="E2" s="373"/>
    </row>
    <row r="3" ht="34.1" customHeight="1" spans="1:5">
      <c r="A3" s="371" t="s">
        <v>3</v>
      </c>
      <c r="B3" s="372" t="s">
        <v>4</v>
      </c>
      <c r="C3" s="372"/>
      <c r="D3" s="372"/>
      <c r="E3" s="373"/>
    </row>
    <row r="4" ht="30.25" customHeight="1" spans="1:5">
      <c r="A4" s="371" t="s">
        <v>5</v>
      </c>
      <c r="B4" s="372" t="s">
        <v>6</v>
      </c>
      <c r="C4" s="372"/>
      <c r="D4" s="372"/>
      <c r="E4" s="373"/>
    </row>
    <row r="5" ht="34.9" customHeight="1" spans="1:5">
      <c r="A5" s="371" t="s">
        <v>7</v>
      </c>
      <c r="B5" s="374"/>
      <c r="C5" s="374"/>
      <c r="D5" s="374"/>
      <c r="E5" s="375" t="s">
        <v>8</v>
      </c>
    </row>
    <row r="6" ht="34.9" customHeight="1" spans="1:5">
      <c r="A6" s="371" t="s">
        <v>9</v>
      </c>
      <c r="B6" s="374">
        <v>2443143</v>
      </c>
      <c r="C6" s="374"/>
      <c r="D6" s="374"/>
      <c r="E6" s="375" t="s">
        <v>10</v>
      </c>
    </row>
    <row r="7" ht="32.55" customHeight="1" spans="1:5">
      <c r="A7" s="371" t="s">
        <v>11</v>
      </c>
      <c r="B7" s="374"/>
      <c r="C7" s="374"/>
      <c r="D7" s="374"/>
      <c r="E7" s="376" t="s">
        <v>12</v>
      </c>
    </row>
    <row r="8" ht="34.1" customHeight="1" spans="1:5">
      <c r="A8" s="371" t="s">
        <v>13</v>
      </c>
      <c r="B8" s="372" t="s">
        <v>6</v>
      </c>
      <c r="C8" s="372"/>
      <c r="D8" s="372"/>
      <c r="E8" s="373"/>
    </row>
    <row r="9" ht="33.35" customHeight="1" spans="1:5">
      <c r="A9" s="371" t="s">
        <v>14</v>
      </c>
      <c r="B9" s="377"/>
      <c r="C9" s="372" t="s">
        <v>6</v>
      </c>
      <c r="D9" s="372"/>
      <c r="E9" s="373"/>
    </row>
    <row r="10" ht="34.9" customHeight="1" spans="1:5">
      <c r="A10" s="371" t="s">
        <v>15</v>
      </c>
      <c r="B10" s="372" t="s">
        <v>6</v>
      </c>
      <c r="C10" s="372"/>
      <c r="D10" s="372"/>
      <c r="E10" s="373"/>
    </row>
    <row r="11" ht="34.1" customHeight="1" spans="1:5">
      <c r="A11" s="371" t="s">
        <v>16</v>
      </c>
      <c r="B11" s="377"/>
      <c r="C11" s="372" t="s">
        <v>6</v>
      </c>
      <c r="D11" s="372"/>
      <c r="E11" s="373"/>
    </row>
    <row r="12" ht="34.9" customHeight="1" spans="1:5">
      <c r="A12" s="371" t="s">
        <v>17</v>
      </c>
      <c r="B12" s="372" t="s">
        <v>6</v>
      </c>
      <c r="C12" s="372"/>
      <c r="D12" s="372"/>
      <c r="E12" s="373"/>
    </row>
    <row r="13" ht="34.9" customHeight="1" spans="1:5">
      <c r="A13" s="371" t="s">
        <v>18</v>
      </c>
      <c r="B13" s="372" t="s">
        <v>19</v>
      </c>
      <c r="C13" s="372"/>
      <c r="D13" s="372"/>
      <c r="E13" s="373"/>
    </row>
    <row r="14" ht="34.9" customHeight="1" spans="1:5">
      <c r="A14" s="371" t="s">
        <v>6</v>
      </c>
      <c r="B14" s="377" t="s">
        <v>6</v>
      </c>
      <c r="C14" s="377"/>
      <c r="D14" s="377"/>
      <c r="E14" s="376"/>
    </row>
    <row r="15" ht="98.45" customHeight="1" spans="1:5">
      <c r="A15" s="378" t="s">
        <v>6</v>
      </c>
      <c r="B15" s="379"/>
      <c r="C15" s="379" t="s">
        <v>6</v>
      </c>
      <c r="D15" s="380" t="s">
        <v>6</v>
      </c>
      <c r="E15" s="381"/>
    </row>
    <row r="16" ht="15.7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AK347"/>
  <sheetViews>
    <sheetView showGridLines="0" showZeros="0" tabSelected="1" zoomScaleSheetLayoutView="75" workbookViewId="0">
      <pane ySplit="5" topLeftCell="A45" activePane="bottomLeft" state="frozen"/>
      <selection/>
      <selection pane="bottomLeft" activeCell="I59" sqref="I59"/>
    </sheetView>
  </sheetViews>
  <sheetFormatPr defaultColWidth="10.2857142857143" defaultRowHeight="24.6" customHeight="1"/>
  <cols>
    <col min="1" max="3" width="6" style="50" hidden="1" customWidth="1"/>
    <col min="4" max="4" width="7.57142857142857" style="50" customWidth="1"/>
    <col min="5" max="5" width="30.8571428571429" style="50" customWidth="1"/>
    <col min="6" max="6" width="12.5142857142857" style="50" customWidth="1"/>
    <col min="7" max="7" width="6.57142857142857" style="50" customWidth="1"/>
    <col min="8" max="9" width="12.5142857142857" style="50" customWidth="1"/>
    <col min="10" max="10" width="12.5142857142857" style="51" customWidth="1"/>
    <col min="11" max="11" width="12.5142857142857" style="52" customWidth="1"/>
    <col min="12" max="13" width="12.5142857142857" style="50" customWidth="1"/>
    <col min="14" max="14" width="18.8571428571429" style="53" customWidth="1"/>
    <col min="15" max="15" width="28.5714285714286" style="50" customWidth="1"/>
    <col min="16" max="16" width="13.4285714285714" style="50" customWidth="1"/>
    <col min="17" max="17" width="18.2857142857143" style="50" customWidth="1"/>
    <col min="18" max="18" width="10.2857142857143" style="50"/>
    <col min="19" max="19" width="11" style="50" customWidth="1"/>
    <col min="20" max="23" width="10.2857142857143" style="50"/>
    <col min="24" max="24" width="10.7142857142857" style="50"/>
    <col min="25" max="16384" width="10.2857142857143" style="50"/>
  </cols>
  <sheetData>
    <row r="1" customHeight="1" spans="1:16">
      <c r="A1" s="54" t="s">
        <v>20</v>
      </c>
      <c r="B1" s="55"/>
      <c r="C1" s="55"/>
      <c r="D1" s="55"/>
      <c r="E1" s="55"/>
      <c r="F1" s="55"/>
      <c r="G1" s="55"/>
      <c r="H1" s="55"/>
      <c r="I1" s="55"/>
      <c r="J1" s="56"/>
      <c r="K1" s="55"/>
      <c r="L1" s="55"/>
      <c r="M1" s="55"/>
      <c r="N1" s="57"/>
      <c r="O1" s="49"/>
    </row>
    <row r="2" ht="13" customHeight="1" spans="1:16">
      <c r="A2" s="58"/>
      <c r="B2" s="59"/>
      <c r="C2" s="59"/>
      <c r="D2" s="59"/>
      <c r="E2" s="59"/>
      <c r="F2" s="59"/>
      <c r="G2" s="59"/>
      <c r="H2" s="59"/>
      <c r="I2" s="59"/>
      <c r="J2" s="60"/>
      <c r="K2" s="59"/>
      <c r="L2" s="59"/>
      <c r="M2" s="59"/>
      <c r="N2" s="61"/>
      <c r="O2" s="62"/>
    </row>
    <row r="3" customHeight="1" spans="1:16">
      <c r="B3" s="63"/>
      <c r="C3" s="63"/>
      <c r="D3" s="64" t="s">
        <v>21</v>
      </c>
      <c r="E3" s="63"/>
      <c r="F3" s="63"/>
      <c r="G3" s="63"/>
      <c r="H3" s="63"/>
      <c r="I3" s="63"/>
      <c r="J3" s="63"/>
      <c r="K3" s="63"/>
      <c r="L3" s="63"/>
      <c r="M3" s="63"/>
      <c r="N3" s="65"/>
      <c r="O3" s="62"/>
    </row>
    <row r="4" customHeight="1" spans="1:16">
      <c r="A4" s="66" t="s">
        <v>22</v>
      </c>
      <c r="B4" s="67" t="s">
        <v>23</v>
      </c>
      <c r="C4" s="68" t="s">
        <v>24</v>
      </c>
      <c r="D4" s="69" t="s">
        <v>25</v>
      </c>
      <c r="E4" s="382" t="s">
        <v>26</v>
      </c>
      <c r="F4" s="69" t="s">
        <v>27</v>
      </c>
      <c r="G4" s="70"/>
      <c r="H4" s="70"/>
      <c r="I4" s="70"/>
      <c r="J4" s="71"/>
      <c r="K4" s="69" t="s">
        <v>28</v>
      </c>
      <c r="L4" s="70"/>
      <c r="M4" s="70"/>
      <c r="N4" s="382" t="s">
        <v>29</v>
      </c>
      <c r="O4" s="72"/>
    </row>
    <row r="5" ht="39.75" customHeight="1" spans="1:16">
      <c r="A5" s="73"/>
      <c r="B5" s="74"/>
      <c r="C5" s="70"/>
      <c r="D5" s="70"/>
      <c r="E5" s="70"/>
      <c r="F5" s="69" t="s">
        <v>30</v>
      </c>
      <c r="G5" s="69" t="s">
        <v>31</v>
      </c>
      <c r="H5" s="69" t="s">
        <v>32</v>
      </c>
      <c r="I5" s="69" t="s">
        <v>33</v>
      </c>
      <c r="J5" s="382" t="s">
        <v>34</v>
      </c>
      <c r="K5" s="382" t="s">
        <v>35</v>
      </c>
      <c r="L5" s="382" t="s">
        <v>36</v>
      </c>
      <c r="M5" s="69" t="s">
        <v>37</v>
      </c>
      <c r="N5" s="70"/>
      <c r="O5" s="72"/>
    </row>
    <row r="6" customHeight="1" spans="1:16">
      <c r="A6" s="75" t="s">
        <v>38</v>
      </c>
      <c r="B6" s="76"/>
      <c r="C6" s="76"/>
      <c r="D6" s="77" t="s">
        <v>38</v>
      </c>
      <c r="E6" s="78" t="s">
        <v>39</v>
      </c>
      <c r="F6" s="79">
        <f>F7+F37</f>
        <v>2001426</v>
      </c>
      <c r="G6" s="79">
        <f t="shared" ref="G6:I6" si="0">G7</f>
        <v>0</v>
      </c>
      <c r="H6" s="79">
        <f t="shared" si="0"/>
        <v>0</v>
      </c>
      <c r="I6" s="79">
        <f t="shared" si="0"/>
        <v>0</v>
      </c>
      <c r="J6" s="79">
        <f>F6</f>
        <v>2001426</v>
      </c>
      <c r="K6" s="76"/>
      <c r="L6" s="79"/>
      <c r="M6" s="79"/>
      <c r="N6" s="80"/>
      <c r="O6" s="81"/>
      <c r="P6" s="82"/>
    </row>
    <row r="7" customHeight="1" spans="1:16">
      <c r="A7" s="75"/>
      <c r="B7" s="83">
        <v>1</v>
      </c>
      <c r="C7" s="76"/>
      <c r="D7" s="77" t="s">
        <v>40</v>
      </c>
      <c r="E7" s="84" t="s">
        <v>41</v>
      </c>
      <c r="F7" s="85">
        <f>F8+F12+F18+F24+F36</f>
        <v>1992713</v>
      </c>
      <c r="G7" s="84"/>
      <c r="H7" s="84"/>
      <c r="I7" s="84"/>
      <c r="J7" s="85">
        <f>F7</f>
        <v>1992713</v>
      </c>
      <c r="K7" s="84"/>
      <c r="L7" s="84"/>
      <c r="M7" s="84"/>
      <c r="N7" s="80"/>
      <c r="O7" s="81"/>
      <c r="P7" s="82"/>
    </row>
    <row r="8" customHeight="1" spans="1:16">
      <c r="A8" s="75"/>
      <c r="B8" s="83"/>
      <c r="C8" s="83">
        <v>1</v>
      </c>
      <c r="D8" s="83">
        <v>1</v>
      </c>
      <c r="E8" s="86" t="s">
        <v>42</v>
      </c>
      <c r="F8" s="85">
        <v>9174</v>
      </c>
      <c r="G8" s="83"/>
      <c r="H8" s="83"/>
      <c r="I8" s="83"/>
      <c r="J8" s="85">
        <f>F8</f>
        <v>9174</v>
      </c>
      <c r="K8" s="87" t="s">
        <v>43</v>
      </c>
      <c r="L8" s="87">
        <v>36.704</v>
      </c>
      <c r="M8" s="85">
        <f>J8/L8</f>
        <v>249.945510026155</v>
      </c>
      <c r="N8" s="80"/>
      <c r="O8" s="81"/>
      <c r="P8" s="82"/>
    </row>
    <row r="9" customHeight="1" spans="1:16">
      <c r="A9" s="75"/>
      <c r="B9" s="83"/>
      <c r="C9" s="83"/>
      <c r="D9" s="88" t="s">
        <v>44</v>
      </c>
      <c r="E9" s="86" t="s">
        <v>45</v>
      </c>
      <c r="F9" s="85">
        <v>6099.47</v>
      </c>
      <c r="G9" s="83"/>
      <c r="H9" s="83"/>
      <c r="I9" s="83"/>
      <c r="J9" s="85">
        <v>6099.47</v>
      </c>
      <c r="K9" s="87"/>
      <c r="L9" s="87"/>
      <c r="M9" s="85"/>
      <c r="N9" s="80"/>
      <c r="O9" s="81"/>
      <c r="P9" s="82"/>
    </row>
    <row r="10" customHeight="1" spans="1:16">
      <c r="A10" s="75"/>
      <c r="B10" s="83"/>
      <c r="C10" s="83"/>
      <c r="D10" s="88" t="s">
        <v>46</v>
      </c>
      <c r="E10" s="86" t="s">
        <v>47</v>
      </c>
      <c r="F10" s="85">
        <v>1610</v>
      </c>
      <c r="G10" s="83"/>
      <c r="H10" s="83"/>
      <c r="I10" s="83"/>
      <c r="J10" s="85">
        <v>1610</v>
      </c>
      <c r="K10" s="87"/>
      <c r="L10" s="87"/>
      <c r="M10" s="85"/>
      <c r="N10" s="80"/>
      <c r="O10" s="81"/>
      <c r="P10" s="82"/>
    </row>
    <row r="11" customHeight="1" spans="1:16">
      <c r="A11" s="75"/>
      <c r="B11" s="83"/>
      <c r="C11" s="83"/>
      <c r="D11" s="88" t="s">
        <v>48</v>
      </c>
      <c r="E11" s="86" t="s">
        <v>49</v>
      </c>
      <c r="F11" s="85">
        <v>1464.12</v>
      </c>
      <c r="G11" s="83"/>
      <c r="H11" s="83"/>
      <c r="I11" s="83"/>
      <c r="J11" s="85">
        <v>1464.12</v>
      </c>
      <c r="K11" s="87"/>
      <c r="L11" s="87"/>
      <c r="M11" s="85"/>
      <c r="N11" s="80"/>
      <c r="O11" s="81"/>
      <c r="P11" s="82"/>
    </row>
    <row r="12" customHeight="1" spans="1:16">
      <c r="A12" s="75"/>
      <c r="B12" s="83"/>
      <c r="C12" s="83">
        <v>2</v>
      </c>
      <c r="D12" s="83">
        <v>2</v>
      </c>
      <c r="E12" s="86" t="s">
        <v>50</v>
      </c>
      <c r="F12" s="85">
        <v>308357</v>
      </c>
      <c r="G12" s="83"/>
      <c r="H12" s="83"/>
      <c r="I12" s="83"/>
      <c r="J12" s="85">
        <f>F12</f>
        <v>308357</v>
      </c>
      <c r="K12" s="89" t="s">
        <v>22</v>
      </c>
      <c r="L12" s="90">
        <v>1</v>
      </c>
      <c r="M12" s="85">
        <f>J12/L12</f>
        <v>308357</v>
      </c>
      <c r="N12" s="80"/>
      <c r="O12" s="81"/>
      <c r="P12" s="82"/>
    </row>
    <row r="13" customHeight="1" spans="1:16">
      <c r="A13" s="75"/>
      <c r="B13" s="83"/>
      <c r="C13" s="83"/>
      <c r="D13" s="88" t="s">
        <v>51</v>
      </c>
      <c r="E13" s="86" t="s">
        <v>52</v>
      </c>
      <c r="F13" s="85">
        <v>11380.08</v>
      </c>
      <c r="G13" s="83"/>
      <c r="H13" s="83"/>
      <c r="I13" s="83"/>
      <c r="J13" s="85">
        <v>11380.08</v>
      </c>
      <c r="K13" s="89"/>
      <c r="L13" s="90"/>
      <c r="M13" s="85"/>
      <c r="N13" s="80"/>
      <c r="O13" s="81"/>
      <c r="P13" s="82"/>
    </row>
    <row r="14" customHeight="1" spans="1:16">
      <c r="A14" s="75"/>
      <c r="B14" s="83"/>
      <c r="C14" s="83"/>
      <c r="D14" s="88" t="s">
        <v>53</v>
      </c>
      <c r="E14" s="86" t="s">
        <v>54</v>
      </c>
      <c r="F14" s="85">
        <v>8555.34</v>
      </c>
      <c r="G14" s="83"/>
      <c r="H14" s="83"/>
      <c r="I14" s="83"/>
      <c r="J14" s="85">
        <v>8555.34</v>
      </c>
      <c r="K14" s="89"/>
      <c r="L14" s="90"/>
      <c r="M14" s="85"/>
      <c r="N14" s="80"/>
      <c r="O14" s="81"/>
      <c r="P14" s="82"/>
    </row>
    <row r="15" customHeight="1" spans="1:16">
      <c r="A15" s="75"/>
      <c r="B15" s="83"/>
      <c r="C15" s="83"/>
      <c r="D15" s="88" t="s">
        <v>55</v>
      </c>
      <c r="E15" s="86" t="s">
        <v>54</v>
      </c>
      <c r="F15" s="85">
        <v>6144.88</v>
      </c>
      <c r="G15" s="83"/>
      <c r="H15" s="83"/>
      <c r="I15" s="83"/>
      <c r="J15" s="85">
        <v>6144.88</v>
      </c>
      <c r="K15" s="89"/>
      <c r="L15" s="90"/>
      <c r="M15" s="85"/>
      <c r="N15" s="80"/>
      <c r="O15" s="81"/>
      <c r="P15" s="82"/>
    </row>
    <row r="16" customHeight="1" spans="1:16">
      <c r="A16" s="75"/>
      <c r="B16" s="83"/>
      <c r="C16" s="83"/>
      <c r="D16" s="88" t="s">
        <v>56</v>
      </c>
      <c r="E16" s="86" t="s">
        <v>57</v>
      </c>
      <c r="F16" s="85">
        <v>234055.17</v>
      </c>
      <c r="G16" s="83"/>
      <c r="H16" s="83"/>
      <c r="I16" s="83"/>
      <c r="J16" s="85">
        <v>234055.17</v>
      </c>
      <c r="K16" s="89"/>
      <c r="L16" s="90"/>
      <c r="M16" s="85"/>
      <c r="N16" s="80"/>
      <c r="O16" s="81"/>
      <c r="P16" s="82"/>
    </row>
    <row r="17" customHeight="1" spans="1:16">
      <c r="A17" s="75"/>
      <c r="B17" s="83"/>
      <c r="C17" s="83"/>
      <c r="D17" s="88" t="s">
        <v>58</v>
      </c>
      <c r="E17" s="86" t="s">
        <v>59</v>
      </c>
      <c r="F17" s="85">
        <v>48221.36</v>
      </c>
      <c r="G17" s="83"/>
      <c r="H17" s="83"/>
      <c r="I17" s="83"/>
      <c r="J17" s="85">
        <v>48221.36</v>
      </c>
      <c r="K17" s="89"/>
      <c r="L17" s="90"/>
      <c r="M17" s="85"/>
      <c r="N17" s="80"/>
      <c r="O17" s="81"/>
      <c r="P17" s="82"/>
    </row>
    <row r="18" customHeight="1" spans="1:16">
      <c r="A18" s="75"/>
      <c r="B18" s="83"/>
      <c r="C18" s="83">
        <v>3</v>
      </c>
      <c r="D18" s="83">
        <v>3</v>
      </c>
      <c r="E18" s="86" t="s">
        <v>60</v>
      </c>
      <c r="F18" s="85">
        <v>51630</v>
      </c>
      <c r="G18" s="83"/>
      <c r="H18" s="83"/>
      <c r="I18" s="83"/>
      <c r="J18" s="85">
        <f>F18</f>
        <v>51630</v>
      </c>
      <c r="K18" s="87" t="s">
        <v>43</v>
      </c>
      <c r="L18" s="90">
        <v>99.472</v>
      </c>
      <c r="M18" s="85">
        <f>J18/L18</f>
        <v>519.040534019624</v>
      </c>
      <c r="N18" s="80"/>
      <c r="O18" s="81"/>
      <c r="P18" s="82"/>
    </row>
    <row r="19" customHeight="1" spans="1:16">
      <c r="A19" s="75"/>
      <c r="B19" s="83"/>
      <c r="C19" s="83"/>
      <c r="D19" s="88" t="s">
        <v>61</v>
      </c>
      <c r="E19" s="86" t="s">
        <v>62</v>
      </c>
      <c r="F19" s="85">
        <v>3261.95</v>
      </c>
      <c r="G19" s="83"/>
      <c r="H19" s="83"/>
      <c r="I19" s="83"/>
      <c r="J19" s="85">
        <v>3261.95</v>
      </c>
      <c r="K19" s="87"/>
      <c r="L19" s="90"/>
      <c r="M19" s="85"/>
      <c r="N19" s="80"/>
      <c r="O19" s="81"/>
      <c r="P19" s="82"/>
    </row>
    <row r="20" customHeight="1" spans="1:16">
      <c r="A20" s="75"/>
      <c r="B20" s="83"/>
      <c r="C20" s="83"/>
      <c r="D20" s="88" t="s">
        <v>63</v>
      </c>
      <c r="E20" s="86" t="s">
        <v>64</v>
      </c>
      <c r="F20" s="85">
        <v>47725.27</v>
      </c>
      <c r="G20" s="83"/>
      <c r="H20" s="83"/>
      <c r="I20" s="83"/>
      <c r="J20" s="85">
        <v>47725.27</v>
      </c>
      <c r="K20" s="87"/>
      <c r="L20" s="90"/>
      <c r="M20" s="85"/>
      <c r="N20" s="80"/>
      <c r="O20" s="81"/>
      <c r="P20" s="82"/>
    </row>
    <row r="21" customHeight="1" spans="1:16">
      <c r="A21" s="75"/>
      <c r="B21" s="83"/>
      <c r="C21" s="83"/>
      <c r="D21" s="88" t="s">
        <v>65</v>
      </c>
      <c r="E21" s="86" t="s">
        <v>66</v>
      </c>
      <c r="F21" s="85">
        <v>189</v>
      </c>
      <c r="G21" s="83"/>
      <c r="H21" s="83"/>
      <c r="I21" s="83"/>
      <c r="J21" s="85">
        <v>189</v>
      </c>
      <c r="K21" s="87"/>
      <c r="L21" s="90"/>
      <c r="M21" s="85"/>
      <c r="N21" s="80"/>
      <c r="O21" s="81"/>
      <c r="P21" s="82"/>
    </row>
    <row r="22" customHeight="1" spans="1:16">
      <c r="A22" s="75"/>
      <c r="B22" s="83"/>
      <c r="C22" s="83"/>
      <c r="D22" s="88" t="s">
        <v>67</v>
      </c>
      <c r="E22" s="86" t="s">
        <v>68</v>
      </c>
      <c r="F22" s="85">
        <v>310.18</v>
      </c>
      <c r="G22" s="83"/>
      <c r="H22" s="83"/>
      <c r="I22" s="83"/>
      <c r="J22" s="85">
        <v>310.18</v>
      </c>
      <c r="K22" s="87"/>
      <c r="L22" s="90"/>
      <c r="M22" s="85"/>
      <c r="N22" s="80"/>
      <c r="O22" s="81"/>
      <c r="P22" s="82"/>
    </row>
    <row r="23" customHeight="1" spans="1:16">
      <c r="A23" s="75"/>
      <c r="B23" s="83"/>
      <c r="C23" s="83"/>
      <c r="D23" s="88" t="s">
        <v>69</v>
      </c>
      <c r="E23" s="86" t="s">
        <v>70</v>
      </c>
      <c r="F23" s="85">
        <v>143.48</v>
      </c>
      <c r="G23" s="83"/>
      <c r="H23" s="83"/>
      <c r="I23" s="83"/>
      <c r="J23" s="85">
        <v>143.48</v>
      </c>
      <c r="K23" s="87"/>
      <c r="L23" s="90"/>
      <c r="M23" s="85"/>
      <c r="N23" s="80"/>
      <c r="O23" s="81"/>
      <c r="P23" s="82"/>
    </row>
    <row r="24" customHeight="1" spans="1:16">
      <c r="A24" s="75"/>
      <c r="B24" s="83"/>
      <c r="C24" s="83">
        <v>4</v>
      </c>
      <c r="D24" s="83">
        <v>4</v>
      </c>
      <c r="E24" s="86" t="s">
        <v>71</v>
      </c>
      <c r="F24" s="85">
        <v>1570833</v>
      </c>
      <c r="G24" s="83"/>
      <c r="H24" s="83"/>
      <c r="I24" s="83"/>
      <c r="J24" s="85">
        <f>F24</f>
        <v>1570833</v>
      </c>
      <c r="K24" s="83" t="s">
        <v>22</v>
      </c>
      <c r="L24" s="90">
        <v>1</v>
      </c>
      <c r="M24" s="85">
        <f>J24/L24</f>
        <v>1570833</v>
      </c>
      <c r="N24" s="80"/>
      <c r="O24" s="81"/>
      <c r="P24" s="82"/>
    </row>
    <row r="25" customHeight="1" spans="1:16">
      <c r="A25" s="75"/>
      <c r="B25" s="83"/>
      <c r="C25" s="83"/>
      <c r="D25" s="88" t="s">
        <v>72</v>
      </c>
      <c r="E25" s="86" t="s">
        <v>73</v>
      </c>
      <c r="F25" s="85">
        <v>30268</v>
      </c>
      <c r="G25" s="83"/>
      <c r="H25" s="83"/>
      <c r="I25" s="83"/>
      <c r="J25" s="85">
        <v>30268</v>
      </c>
      <c r="K25" s="83"/>
      <c r="L25" s="90"/>
      <c r="M25" s="85"/>
      <c r="N25" s="80"/>
      <c r="O25" s="81"/>
      <c r="P25" s="82"/>
    </row>
    <row r="26" customHeight="1" spans="1:16">
      <c r="A26" s="75"/>
      <c r="B26" s="83"/>
      <c r="C26" s="83"/>
      <c r="D26" s="88" t="s">
        <v>74</v>
      </c>
      <c r="E26" s="86" t="s">
        <v>75</v>
      </c>
      <c r="F26" s="85">
        <v>1440.72</v>
      </c>
      <c r="G26" s="83"/>
      <c r="H26" s="83"/>
      <c r="I26" s="83"/>
      <c r="J26" s="85">
        <v>1440.72</v>
      </c>
      <c r="K26" s="83"/>
      <c r="L26" s="90"/>
      <c r="M26" s="85"/>
      <c r="N26" s="80"/>
      <c r="O26" s="81"/>
      <c r="P26" s="82"/>
    </row>
    <row r="27" customHeight="1" spans="1:16">
      <c r="A27" s="75"/>
      <c r="B27" s="83"/>
      <c r="C27" s="83"/>
      <c r="D27" s="88" t="s">
        <v>76</v>
      </c>
      <c r="E27" s="86" t="s">
        <v>77</v>
      </c>
      <c r="F27" s="85">
        <v>10210.52</v>
      </c>
      <c r="G27" s="83"/>
      <c r="H27" s="83"/>
      <c r="I27" s="83"/>
      <c r="J27" s="85">
        <v>10210.52</v>
      </c>
      <c r="K27" s="83"/>
      <c r="L27" s="90"/>
      <c r="M27" s="85"/>
      <c r="N27" s="80"/>
      <c r="O27" s="81"/>
      <c r="P27" s="82"/>
    </row>
    <row r="28" customHeight="1" spans="1:16">
      <c r="A28" s="75"/>
      <c r="B28" s="83"/>
      <c r="C28" s="83"/>
      <c r="D28" s="88" t="s">
        <v>78</v>
      </c>
      <c r="E28" s="86" t="s">
        <v>79</v>
      </c>
      <c r="F28" s="85">
        <v>95839.09</v>
      </c>
      <c r="G28" s="83"/>
      <c r="H28" s="83"/>
      <c r="I28" s="83"/>
      <c r="J28" s="85">
        <v>95839.09</v>
      </c>
      <c r="K28" s="83"/>
      <c r="L28" s="90"/>
      <c r="M28" s="85"/>
      <c r="N28" s="80"/>
      <c r="O28" s="81"/>
      <c r="P28" s="82"/>
    </row>
    <row r="29" customHeight="1" spans="1:16">
      <c r="A29" s="75"/>
      <c r="B29" s="83"/>
      <c r="C29" s="83"/>
      <c r="D29" s="88" t="s">
        <v>80</v>
      </c>
      <c r="E29" s="86" t="s">
        <v>81</v>
      </c>
      <c r="F29" s="85">
        <v>18501.86</v>
      </c>
      <c r="G29" s="83"/>
      <c r="H29" s="83"/>
      <c r="I29" s="83"/>
      <c r="J29" s="85">
        <v>18501.86</v>
      </c>
      <c r="K29" s="83"/>
      <c r="L29" s="90"/>
      <c r="M29" s="85"/>
      <c r="N29" s="80"/>
      <c r="O29" s="81"/>
      <c r="P29" s="82"/>
    </row>
    <row r="30" customHeight="1" spans="1:16">
      <c r="A30" s="75"/>
      <c r="B30" s="83"/>
      <c r="C30" s="83"/>
      <c r="D30" s="88" t="s">
        <v>82</v>
      </c>
      <c r="E30" s="86" t="s">
        <v>83</v>
      </c>
      <c r="F30" s="85">
        <v>67908.94</v>
      </c>
      <c r="G30" s="83"/>
      <c r="H30" s="83"/>
      <c r="I30" s="83"/>
      <c r="J30" s="85">
        <v>67908.94</v>
      </c>
      <c r="K30" s="83"/>
      <c r="L30" s="90"/>
      <c r="M30" s="85"/>
      <c r="N30" s="80"/>
      <c r="O30" s="81"/>
      <c r="P30" s="82"/>
    </row>
    <row r="31" customHeight="1" spans="1:16">
      <c r="A31" s="75"/>
      <c r="B31" s="83"/>
      <c r="C31" s="83"/>
      <c r="D31" s="88" t="s">
        <v>84</v>
      </c>
      <c r="E31" s="86" t="s">
        <v>85</v>
      </c>
      <c r="F31" s="85">
        <v>759673.14</v>
      </c>
      <c r="G31" s="83"/>
      <c r="H31" s="83"/>
      <c r="I31" s="83"/>
      <c r="J31" s="85">
        <v>759673.14</v>
      </c>
      <c r="K31" s="83"/>
      <c r="L31" s="90"/>
      <c r="M31" s="85"/>
      <c r="N31" s="80"/>
      <c r="O31" s="81"/>
      <c r="P31" s="82"/>
    </row>
    <row r="32" customHeight="1" spans="1:16">
      <c r="A32" s="75"/>
      <c r="B32" s="83"/>
      <c r="C32" s="83"/>
      <c r="D32" s="88" t="s">
        <v>86</v>
      </c>
      <c r="E32" s="86" t="s">
        <v>87</v>
      </c>
      <c r="F32" s="85">
        <v>566385.9</v>
      </c>
      <c r="G32" s="83"/>
      <c r="H32" s="83"/>
      <c r="I32" s="83"/>
      <c r="J32" s="85">
        <v>566385.9</v>
      </c>
      <c r="K32" s="83"/>
      <c r="L32" s="90"/>
      <c r="M32" s="85"/>
      <c r="N32" s="80"/>
      <c r="O32" s="81"/>
      <c r="P32" s="82"/>
    </row>
    <row r="33" customHeight="1" spans="1:16">
      <c r="A33" s="75"/>
      <c r="B33" s="83"/>
      <c r="C33" s="83"/>
      <c r="D33" s="88" t="s">
        <v>88</v>
      </c>
      <c r="E33" s="86" t="s">
        <v>89</v>
      </c>
      <c r="F33" s="85">
        <v>2117.35</v>
      </c>
      <c r="G33" s="83"/>
      <c r="H33" s="83"/>
      <c r="I33" s="83"/>
      <c r="J33" s="85">
        <v>2117.35</v>
      </c>
      <c r="K33" s="83"/>
      <c r="L33" s="90"/>
      <c r="M33" s="85"/>
      <c r="N33" s="80"/>
      <c r="O33" s="81"/>
      <c r="P33" s="82"/>
    </row>
    <row r="34" customHeight="1" spans="1:16">
      <c r="A34" s="75"/>
      <c r="B34" s="83"/>
      <c r="C34" s="83"/>
      <c r="D34" s="88" t="s">
        <v>90</v>
      </c>
      <c r="E34" s="86" t="s">
        <v>91</v>
      </c>
      <c r="F34" s="85">
        <v>15620.91</v>
      </c>
      <c r="G34" s="83"/>
      <c r="H34" s="83"/>
      <c r="I34" s="83"/>
      <c r="J34" s="85">
        <v>15620.91</v>
      </c>
      <c r="K34" s="83"/>
      <c r="L34" s="90"/>
      <c r="M34" s="85"/>
      <c r="N34" s="80"/>
      <c r="O34" s="81"/>
      <c r="P34" s="82"/>
    </row>
    <row r="35" customHeight="1" spans="1:16">
      <c r="A35" s="75"/>
      <c r="B35" s="83"/>
      <c r="C35" s="83"/>
      <c r="D35" s="88" t="s">
        <v>92</v>
      </c>
      <c r="E35" s="86" t="s">
        <v>93</v>
      </c>
      <c r="F35" s="85">
        <v>2866.72</v>
      </c>
      <c r="G35" s="83"/>
      <c r="H35" s="83"/>
      <c r="I35" s="83"/>
      <c r="J35" s="85">
        <v>2866.72</v>
      </c>
      <c r="K35" s="83"/>
      <c r="L35" s="90"/>
      <c r="M35" s="85"/>
      <c r="N35" s="80"/>
      <c r="O35" s="81"/>
      <c r="P35" s="82"/>
    </row>
    <row r="36" customHeight="1" spans="1:16">
      <c r="A36" s="75"/>
      <c r="B36" s="83"/>
      <c r="C36" s="83">
        <v>5</v>
      </c>
      <c r="D36" s="83">
        <v>5</v>
      </c>
      <c r="E36" s="86" t="s">
        <v>94</v>
      </c>
      <c r="F36" s="85">
        <v>52719</v>
      </c>
      <c r="G36" s="83"/>
      <c r="H36" s="83"/>
      <c r="I36" s="83"/>
      <c r="J36" s="85">
        <f>F36</f>
        <v>52719</v>
      </c>
      <c r="K36" s="83" t="s">
        <v>22</v>
      </c>
      <c r="L36" s="87">
        <v>1</v>
      </c>
      <c r="M36" s="85">
        <f>J36/L36</f>
        <v>52719</v>
      </c>
      <c r="N36" s="80"/>
      <c r="O36" s="81"/>
      <c r="P36" s="82"/>
    </row>
    <row r="37" customHeight="1" spans="1:16">
      <c r="A37" s="75"/>
      <c r="B37" s="83">
        <v>2</v>
      </c>
      <c r="C37" s="76"/>
      <c r="D37" s="77" t="s">
        <v>95</v>
      </c>
      <c r="E37" s="84" t="s">
        <v>96</v>
      </c>
      <c r="F37" s="85">
        <f>F38+F42</f>
        <v>8713</v>
      </c>
      <c r="G37" s="84"/>
      <c r="H37" s="84"/>
      <c r="I37" s="84"/>
      <c r="J37" s="85">
        <f>F37</f>
        <v>8713</v>
      </c>
      <c r="K37" s="84"/>
      <c r="L37" s="84"/>
      <c r="M37" s="84"/>
      <c r="N37" s="80"/>
      <c r="O37" s="81"/>
      <c r="P37" s="82"/>
    </row>
    <row r="38" customHeight="1" spans="1:16">
      <c r="A38" s="75"/>
      <c r="B38" s="83"/>
      <c r="C38" s="83">
        <v>1</v>
      </c>
      <c r="D38" s="83">
        <v>1</v>
      </c>
      <c r="E38" s="86" t="s">
        <v>97</v>
      </c>
      <c r="F38" s="85">
        <v>8422</v>
      </c>
      <c r="G38" s="83"/>
      <c r="H38" s="83"/>
      <c r="I38" s="83"/>
      <c r="J38" s="85">
        <f>F38</f>
        <v>8422</v>
      </c>
      <c r="K38" s="87" t="s">
        <v>98</v>
      </c>
      <c r="L38" s="87">
        <v>126.9</v>
      </c>
      <c r="M38" s="85">
        <f>J38/L38</f>
        <v>66.3672182821119</v>
      </c>
      <c r="N38" s="80"/>
      <c r="O38" s="91"/>
      <c r="P38" s="92"/>
    </row>
    <row r="39" customHeight="1" spans="1:16">
      <c r="A39" s="75"/>
      <c r="B39" s="83"/>
      <c r="C39" s="83"/>
      <c r="D39" s="88" t="s">
        <v>44</v>
      </c>
      <c r="E39" s="86" t="s">
        <v>99</v>
      </c>
      <c r="F39" s="85">
        <v>689.07</v>
      </c>
      <c r="G39" s="83"/>
      <c r="H39" s="83"/>
      <c r="I39" s="83"/>
      <c r="J39" s="85">
        <v>689.07</v>
      </c>
      <c r="K39" s="87"/>
      <c r="L39" s="87"/>
      <c r="M39" s="85"/>
      <c r="N39" s="80"/>
      <c r="O39" s="91"/>
      <c r="P39" s="92"/>
    </row>
    <row r="40" customHeight="1" spans="1:16">
      <c r="A40" s="75"/>
      <c r="B40" s="83"/>
      <c r="C40" s="83"/>
      <c r="D40" s="88" t="s">
        <v>46</v>
      </c>
      <c r="E40" s="86" t="s">
        <v>100</v>
      </c>
      <c r="F40" s="85">
        <v>1127.04</v>
      </c>
      <c r="G40" s="83"/>
      <c r="H40" s="83"/>
      <c r="I40" s="83"/>
      <c r="J40" s="85">
        <v>1127.04</v>
      </c>
      <c r="K40" s="87"/>
      <c r="L40" s="87"/>
      <c r="M40" s="85"/>
      <c r="N40" s="80"/>
      <c r="O40" s="91"/>
      <c r="P40" s="92"/>
    </row>
    <row r="41" customHeight="1" spans="1:16">
      <c r="A41" s="75"/>
      <c r="B41" s="83"/>
      <c r="C41" s="83"/>
      <c r="D41" s="88" t="s">
        <v>48</v>
      </c>
      <c r="E41" s="86" t="s">
        <v>101</v>
      </c>
      <c r="F41" s="85">
        <v>6605.48</v>
      </c>
      <c r="G41" s="83"/>
      <c r="H41" s="83"/>
      <c r="I41" s="83"/>
      <c r="J41" s="85">
        <v>6605.48</v>
      </c>
      <c r="K41" s="87"/>
      <c r="L41" s="87"/>
      <c r="M41" s="85"/>
      <c r="N41" s="80"/>
      <c r="O41" s="91"/>
      <c r="P41" s="92"/>
    </row>
    <row r="42" customHeight="1" spans="1:16">
      <c r="A42" s="75"/>
      <c r="B42" s="83"/>
      <c r="C42" s="83">
        <v>2</v>
      </c>
      <c r="D42" s="83">
        <v>2</v>
      </c>
      <c r="E42" s="86" t="s">
        <v>94</v>
      </c>
      <c r="F42" s="85">
        <v>291</v>
      </c>
      <c r="G42" s="83"/>
      <c r="H42" s="83"/>
      <c r="I42" s="83"/>
      <c r="J42" s="85">
        <f>F42</f>
        <v>291</v>
      </c>
      <c r="K42" s="83" t="s">
        <v>22</v>
      </c>
      <c r="L42" s="87">
        <v>1</v>
      </c>
      <c r="M42" s="85">
        <f>J42/L42</f>
        <v>291</v>
      </c>
      <c r="N42" s="80"/>
      <c r="O42" s="91"/>
      <c r="P42" s="92"/>
    </row>
    <row r="43" customHeight="1" spans="1:16">
      <c r="A43" s="75"/>
      <c r="B43" s="83"/>
      <c r="C43" s="83"/>
      <c r="D43" s="83"/>
      <c r="E43" s="86"/>
      <c r="F43" s="85"/>
      <c r="G43" s="83"/>
      <c r="H43" s="83"/>
      <c r="I43" s="83"/>
      <c r="J43" s="85"/>
      <c r="K43" s="83"/>
      <c r="L43" s="87"/>
      <c r="M43" s="85"/>
      <c r="N43" s="80"/>
      <c r="O43" s="91"/>
      <c r="P43" s="92"/>
    </row>
    <row r="44" customHeight="1" spans="1:16">
      <c r="A44" s="75" t="s">
        <v>102</v>
      </c>
      <c r="B44" s="76"/>
      <c r="C44" s="76"/>
      <c r="D44" s="77" t="s">
        <v>102</v>
      </c>
      <c r="E44" s="78" t="s">
        <v>103</v>
      </c>
      <c r="F44" s="79">
        <f t="shared" ref="F44:H44" si="1">SUM(F46:F54)</f>
        <v>0</v>
      </c>
      <c r="G44" s="79">
        <f t="shared" si="1"/>
        <v>0</v>
      </c>
      <c r="H44" s="79">
        <f t="shared" si="1"/>
        <v>0</v>
      </c>
      <c r="I44" s="85">
        <f>SUM(I45:I54)</f>
        <v>325377.2968</v>
      </c>
      <c r="J44" s="85">
        <f>SUM(J45:J54)</f>
        <v>325377.2968</v>
      </c>
      <c r="K44" s="76"/>
      <c r="L44" s="79"/>
      <c r="M44" s="79"/>
      <c r="N44" s="80"/>
      <c r="O44" s="93"/>
    </row>
    <row r="45" ht="37" customHeight="1" spans="1:16">
      <c r="A45" s="75"/>
      <c r="B45" s="83">
        <v>1</v>
      </c>
      <c r="C45" s="76"/>
      <c r="D45" s="77" t="s">
        <v>40</v>
      </c>
      <c r="E45" s="94" t="s">
        <v>104</v>
      </c>
      <c r="F45" s="79"/>
      <c r="G45" s="79"/>
      <c r="H45" s="79"/>
      <c r="I45" s="85">
        <v>100000</v>
      </c>
      <c r="J45" s="85">
        <f t="shared" ref="J45:J54" si="2">SUM(F45:I45)</f>
        <v>100000</v>
      </c>
      <c r="K45" s="76"/>
      <c r="L45" s="79"/>
      <c r="M45" s="79"/>
      <c r="N45" s="95" t="s">
        <v>105</v>
      </c>
      <c r="O45" s="93"/>
    </row>
    <row r="46" ht="37" customHeight="1" spans="1:16">
      <c r="A46" s="96"/>
      <c r="B46" s="83">
        <v>2</v>
      </c>
      <c r="C46" s="83"/>
      <c r="D46" s="77" t="s">
        <v>95</v>
      </c>
      <c r="E46" s="94" t="s">
        <v>106</v>
      </c>
      <c r="F46" s="85"/>
      <c r="G46" s="85"/>
      <c r="H46" s="85"/>
      <c r="I46" s="85">
        <f>J6*4.8%</f>
        <v>96068.448</v>
      </c>
      <c r="J46" s="85">
        <f t="shared" si="2"/>
        <v>96068.448</v>
      </c>
      <c r="K46" s="87"/>
      <c r="L46" s="85"/>
      <c r="M46" s="85"/>
      <c r="N46" s="95" t="s">
        <v>107</v>
      </c>
      <c r="O46" s="93"/>
    </row>
    <row r="47" ht="37" customHeight="1" spans="1:16">
      <c r="A47" s="96"/>
      <c r="B47" s="83">
        <v>3</v>
      </c>
      <c r="C47" s="83"/>
      <c r="D47" s="77" t="s">
        <v>108</v>
      </c>
      <c r="E47" s="97" t="s">
        <v>109</v>
      </c>
      <c r="F47" s="85"/>
      <c r="G47" s="85"/>
      <c r="H47" s="85"/>
      <c r="I47" s="85">
        <f>J6*0.48%</f>
        <v>9606.8448</v>
      </c>
      <c r="J47" s="85">
        <f t="shared" si="2"/>
        <v>9606.8448</v>
      </c>
      <c r="K47" s="87"/>
      <c r="L47" s="85"/>
      <c r="M47" s="85"/>
      <c r="N47" s="95" t="s">
        <v>110</v>
      </c>
      <c r="O47" s="93"/>
    </row>
    <row r="48" ht="37" customHeight="1" spans="1:16">
      <c r="A48" s="96"/>
      <c r="B48" s="83">
        <v>4</v>
      </c>
      <c r="C48" s="83"/>
      <c r="D48" s="77" t="s">
        <v>111</v>
      </c>
      <c r="E48" s="97" t="s">
        <v>112</v>
      </c>
      <c r="F48" s="85"/>
      <c r="G48" s="85"/>
      <c r="H48" s="85"/>
      <c r="I48" s="85">
        <f>J6*0.48%</f>
        <v>9606.8448</v>
      </c>
      <c r="J48" s="85">
        <f t="shared" si="2"/>
        <v>9606.8448</v>
      </c>
      <c r="K48" s="87"/>
      <c r="L48" s="85"/>
      <c r="M48" s="85"/>
      <c r="N48" s="95" t="s">
        <v>110</v>
      </c>
      <c r="O48" s="93"/>
    </row>
    <row r="49" ht="37" customHeight="1" spans="1:37">
      <c r="A49" s="96"/>
      <c r="B49" s="83">
        <v>5</v>
      </c>
      <c r="C49" s="83"/>
      <c r="D49" s="77" t="s">
        <v>113</v>
      </c>
      <c r="E49" s="97" t="s">
        <v>114</v>
      </c>
      <c r="F49" s="85"/>
      <c r="G49" s="85"/>
      <c r="H49" s="85"/>
      <c r="I49" s="85">
        <f>J6*0.48%</f>
        <v>9606.8448</v>
      </c>
      <c r="J49" s="85">
        <f t="shared" si="2"/>
        <v>9606.8448</v>
      </c>
      <c r="K49" s="87"/>
      <c r="L49" s="85"/>
      <c r="M49" s="85"/>
      <c r="N49" s="95" t="s">
        <v>110</v>
      </c>
      <c r="O49" s="93"/>
    </row>
    <row r="50" ht="37" customHeight="1" spans="1:37">
      <c r="A50" s="96"/>
      <c r="B50" s="83">
        <v>6</v>
      </c>
      <c r="C50" s="83"/>
      <c r="D50" s="77" t="s">
        <v>115</v>
      </c>
      <c r="E50" s="94" t="s">
        <v>116</v>
      </c>
      <c r="F50" s="85"/>
      <c r="G50" s="85"/>
      <c r="H50" s="85"/>
      <c r="I50" s="85">
        <f>J6*0.033</f>
        <v>66047.058</v>
      </c>
      <c r="J50" s="85">
        <f t="shared" si="2"/>
        <v>66047.058</v>
      </c>
      <c r="K50" s="87"/>
      <c r="L50" s="85"/>
      <c r="M50" s="85"/>
      <c r="N50" s="95" t="s">
        <v>117</v>
      </c>
    </row>
    <row r="51" ht="37" customHeight="1" spans="1:37">
      <c r="A51" s="96"/>
      <c r="B51" s="83">
        <v>7</v>
      </c>
      <c r="C51" s="83"/>
      <c r="D51" s="77" t="s">
        <v>118</v>
      </c>
      <c r="E51" s="94" t="s">
        <v>119</v>
      </c>
      <c r="F51" s="85"/>
      <c r="G51" s="85"/>
      <c r="H51" s="85"/>
      <c r="I51" s="85">
        <f>J6*0.3%</f>
        <v>6004.278</v>
      </c>
      <c r="J51" s="85">
        <f t="shared" si="2"/>
        <v>6004.278</v>
      </c>
      <c r="K51" s="87"/>
      <c r="L51" s="85"/>
      <c r="M51" s="85"/>
      <c r="N51" s="95" t="s">
        <v>120</v>
      </c>
      <c r="O51" s="93"/>
    </row>
    <row r="52" ht="37" customHeight="1" spans="1:37">
      <c r="A52" s="96"/>
      <c r="B52" s="83">
        <v>8</v>
      </c>
      <c r="C52" s="83"/>
      <c r="D52" s="77" t="s">
        <v>121</v>
      </c>
      <c r="E52" s="97" t="s">
        <v>122</v>
      </c>
      <c r="F52" s="85"/>
      <c r="G52" s="85"/>
      <c r="H52" s="85"/>
      <c r="I52" s="85">
        <f>(100*1%+(200.1426-100)*0.7%)*10000</f>
        <v>17009.982</v>
      </c>
      <c r="J52" s="85">
        <f t="shared" si="2"/>
        <v>17009.982</v>
      </c>
      <c r="K52" s="87"/>
      <c r="L52" s="85"/>
      <c r="M52" s="85"/>
      <c r="N52" s="95" t="s">
        <v>110</v>
      </c>
      <c r="O52" s="93"/>
    </row>
    <row r="53" ht="37" customHeight="1" spans="1:37">
      <c r="A53" s="96"/>
      <c r="B53" s="83">
        <v>9</v>
      </c>
      <c r="C53" s="83"/>
      <c r="D53" s="77" t="s">
        <v>123</v>
      </c>
      <c r="E53" s="94" t="s">
        <v>124</v>
      </c>
      <c r="F53" s="85"/>
      <c r="G53" s="85"/>
      <c r="H53" s="85"/>
      <c r="I53" s="85">
        <f>O53</f>
        <v>8325</v>
      </c>
      <c r="J53" s="85">
        <f t="shared" si="2"/>
        <v>8325</v>
      </c>
      <c r="K53" s="87"/>
      <c r="L53" s="85"/>
      <c r="M53" s="85"/>
      <c r="N53" s="95" t="s">
        <v>125</v>
      </c>
      <c r="O53" s="98">
        <v>8325</v>
      </c>
    </row>
    <row r="54" ht="37" customHeight="1" spans="1:37">
      <c r="A54" s="96"/>
      <c r="B54" s="83">
        <v>10</v>
      </c>
      <c r="C54" s="83"/>
      <c r="D54" s="77" t="s">
        <v>126</v>
      </c>
      <c r="E54" s="94" t="s">
        <v>127</v>
      </c>
      <c r="F54" s="85"/>
      <c r="G54" s="85"/>
      <c r="H54" s="85"/>
      <c r="I54" s="85">
        <f>(100*0.17%+(200.1426-100)*0.14%)*10000</f>
        <v>3101.9964</v>
      </c>
      <c r="J54" s="85">
        <f t="shared" si="2"/>
        <v>3101.9964</v>
      </c>
      <c r="K54" s="87"/>
      <c r="L54" s="85"/>
      <c r="M54" s="85"/>
      <c r="N54" s="95" t="s">
        <v>128</v>
      </c>
      <c r="O54" s="93"/>
    </row>
    <row r="55" s="48" customFormat="1" ht="37" customHeight="1" spans="1:37">
      <c r="A55" s="75"/>
      <c r="B55" s="78"/>
      <c r="C55" s="78"/>
      <c r="D55" s="78" t="s">
        <v>129</v>
      </c>
      <c r="E55" s="78" t="s">
        <v>130</v>
      </c>
      <c r="F55" s="79">
        <f t="shared" ref="F55:J55" si="3">SUM(F56)</f>
        <v>0</v>
      </c>
      <c r="G55" s="79">
        <f t="shared" si="3"/>
        <v>0</v>
      </c>
      <c r="H55" s="79">
        <f t="shared" si="3"/>
        <v>0</v>
      </c>
      <c r="I55" s="79">
        <f t="shared" si="3"/>
        <v>116340.16484</v>
      </c>
      <c r="J55" s="79">
        <f t="shared" si="3"/>
        <v>116340.16484</v>
      </c>
      <c r="K55" s="76"/>
      <c r="L55" s="79"/>
      <c r="M55" s="79"/>
      <c r="N55" s="80"/>
      <c r="O55" s="91"/>
    </row>
    <row r="56" ht="37" customHeight="1" spans="1:37">
      <c r="A56" s="96"/>
      <c r="B56" s="83"/>
      <c r="C56" s="83"/>
      <c r="D56" s="83"/>
      <c r="E56" s="84" t="s">
        <v>131</v>
      </c>
      <c r="F56" s="85"/>
      <c r="G56" s="85"/>
      <c r="H56" s="85"/>
      <c r="I56" s="85">
        <f>(J6+J44)*5%</f>
        <v>116340.16484</v>
      </c>
      <c r="J56" s="85">
        <f>SUM(F56:I56)</f>
        <v>116340.16484</v>
      </c>
      <c r="K56" s="87"/>
      <c r="L56" s="85"/>
      <c r="M56" s="85"/>
      <c r="N56" s="99" t="s">
        <v>132</v>
      </c>
      <c r="O56" s="93"/>
    </row>
    <row r="57" customHeight="1" spans="1:37">
      <c r="A57" s="100" t="s">
        <v>133</v>
      </c>
      <c r="B57" s="101"/>
      <c r="C57" s="101"/>
      <c r="D57" s="83" t="s">
        <v>133</v>
      </c>
      <c r="E57" s="78" t="s">
        <v>134</v>
      </c>
      <c r="F57" s="79">
        <f t="shared" ref="F57:J57" si="4">F6+F44+F55</f>
        <v>2001426</v>
      </c>
      <c r="G57" s="102">
        <f t="shared" si="4"/>
        <v>0</v>
      </c>
      <c r="H57" s="102">
        <f t="shared" si="4"/>
        <v>0</v>
      </c>
      <c r="I57" s="79">
        <f t="shared" si="4"/>
        <v>441717.46164</v>
      </c>
      <c r="J57" s="79">
        <f t="shared" si="4"/>
        <v>2443143.46164</v>
      </c>
      <c r="K57" s="87"/>
      <c r="L57" s="85"/>
      <c r="M57" s="85"/>
      <c r="N57" s="103"/>
      <c r="O57" s="91"/>
      <c r="P57" s="82"/>
      <c r="Q57" s="48"/>
    </row>
    <row r="58" ht="26.25" customHeight="1" spans="1:37">
      <c r="F58" s="52"/>
      <c r="H58" s="51"/>
      <c r="I58" s="52"/>
      <c r="L58" s="52"/>
      <c r="N58" s="104"/>
      <c r="O58" s="91"/>
      <c r="P58" s="91"/>
      <c r="Q58" s="48"/>
    </row>
    <row r="59" s="49" customFormat="1" ht="15.75" spans="1:37">
      <c r="D59" s="105"/>
      <c r="E59" s="106"/>
      <c r="J59" s="107"/>
      <c r="N59" s="108"/>
    </row>
    <row r="60" s="49" customFormat="1" ht="15.75" spans="1:37">
      <c r="D60" s="109"/>
      <c r="J60" s="107"/>
      <c r="N60" s="108"/>
    </row>
    <row r="61" s="49" customFormat="1" ht="15.75" spans="1:37">
      <c r="D61" s="109"/>
      <c r="J61" s="107"/>
      <c r="N61" s="110"/>
    </row>
    <row r="62" s="49" customFormat="1" ht="15.75" spans="1:37">
      <c r="D62" s="109"/>
      <c r="J62" s="107"/>
      <c r="N62" s="111"/>
      <c r="V62" s="112"/>
    </row>
    <row r="63" s="49" customFormat="1" ht="15.75" spans="1:37">
      <c r="D63" s="109"/>
      <c r="I63" s="112"/>
      <c r="J63" s="113"/>
      <c r="K63" s="112"/>
      <c r="L63" s="112"/>
      <c r="M63" s="112"/>
      <c r="N63" s="111" t="s">
        <v>135</v>
      </c>
      <c r="O63" s="112"/>
      <c r="P63" s="112"/>
      <c r="Q63" s="112"/>
      <c r="V63" s="112"/>
    </row>
    <row r="64" s="49" customFormat="1" ht="15.75" spans="1:37">
      <c r="D64" s="109"/>
      <c r="I64" s="112"/>
      <c r="J64" s="113"/>
      <c r="K64" s="112"/>
      <c r="L64" s="112"/>
      <c r="M64" s="112"/>
      <c r="N64" s="111"/>
      <c r="O64" s="112"/>
      <c r="P64" s="112"/>
      <c r="Q64" s="112"/>
      <c r="V64" s="112"/>
      <c r="W64" s="112"/>
      <c r="X64" s="112"/>
      <c r="Y64" s="112"/>
      <c r="Z64" s="112"/>
      <c r="AE64" s="114"/>
      <c r="AF64" s="114"/>
      <c r="AG64" s="114"/>
      <c r="AH64" s="114"/>
      <c r="AI64" s="114"/>
      <c r="AJ64" s="114"/>
      <c r="AK64" s="114"/>
    </row>
    <row r="65" s="49" customFormat="1" ht="15.75" spans="4:37">
      <c r="D65" s="109"/>
      <c r="I65" s="112" t="s">
        <v>136</v>
      </c>
      <c r="J65" s="113" t="s">
        <v>137</v>
      </c>
      <c r="K65" s="112"/>
      <c r="L65" s="112"/>
      <c r="M65" s="112"/>
      <c r="N65" s="111">
        <v>1</v>
      </c>
      <c r="O65" s="112">
        <v>2</v>
      </c>
      <c r="P65" s="112">
        <v>3</v>
      </c>
      <c r="Q65" s="112">
        <v>4</v>
      </c>
      <c r="R65" s="112">
        <v>5</v>
      </c>
      <c r="S65" s="112">
        <v>6</v>
      </c>
      <c r="T65" s="112"/>
      <c r="U65" s="112" t="s">
        <v>138</v>
      </c>
      <c r="V65" s="112"/>
      <c r="W65" s="112"/>
      <c r="X65" s="112"/>
      <c r="Y65" s="112"/>
      <c r="AE65" s="114"/>
      <c r="AF65" s="114"/>
      <c r="AG65" s="114"/>
      <c r="AH65" s="114"/>
      <c r="AI65" s="114"/>
      <c r="AJ65" s="114"/>
      <c r="AK65" s="114"/>
    </row>
    <row r="66" s="49" customFormat="1" ht="15.75" spans="4:37">
      <c r="D66" s="109"/>
      <c r="I66" s="112" t="s">
        <v>139</v>
      </c>
      <c r="J66" s="113"/>
      <c r="K66" s="112"/>
      <c r="L66" s="112"/>
      <c r="M66" s="112"/>
      <c r="N66" s="111">
        <v>0.4</v>
      </c>
      <c r="O66" s="112">
        <v>0.3</v>
      </c>
      <c r="P66" s="112">
        <v>0.3</v>
      </c>
      <c r="Q66" s="112"/>
      <c r="R66" s="112"/>
      <c r="S66" s="112"/>
      <c r="T66" s="112"/>
      <c r="V66" s="112"/>
      <c r="W66" s="112"/>
      <c r="X66" s="112"/>
      <c r="Y66" s="112"/>
    </row>
    <row r="67" s="49" customFormat="1" ht="15.75" spans="4:37">
      <c r="D67" s="109"/>
      <c r="I67" s="112"/>
      <c r="J67" s="113" t="s">
        <v>140</v>
      </c>
      <c r="K67" s="112"/>
      <c r="L67" s="112"/>
      <c r="M67" s="112"/>
      <c r="N67" s="111"/>
      <c r="O67" s="112">
        <f>N70</f>
        <v>0</v>
      </c>
      <c r="P67" s="112">
        <f t="shared" ref="P67:S67" si="5">+O70</f>
        <v>0</v>
      </c>
      <c r="Q67" s="112">
        <f t="shared" si="5"/>
        <v>0</v>
      </c>
      <c r="R67" s="112">
        <f t="shared" si="5"/>
        <v>0</v>
      </c>
      <c r="S67" s="112">
        <f t="shared" si="5"/>
        <v>0</v>
      </c>
      <c r="T67" s="112"/>
      <c r="V67" s="112"/>
      <c r="W67" s="112"/>
      <c r="X67" s="112"/>
      <c r="Y67" s="112"/>
      <c r="Z67" s="112"/>
    </row>
    <row r="68" s="49" customFormat="1" ht="15.75" spans="4:37">
      <c r="D68" s="109"/>
      <c r="I68" s="112"/>
      <c r="J68" s="113" t="s">
        <v>141</v>
      </c>
      <c r="K68" s="112"/>
      <c r="L68" s="112"/>
      <c r="M68" s="112"/>
      <c r="N68" s="111">
        <f>I69*N66</f>
        <v>0</v>
      </c>
      <c r="O68" s="112">
        <f>I69*O66</f>
        <v>0</v>
      </c>
      <c r="P68" s="112">
        <f>+I69*P66</f>
        <v>0</v>
      </c>
      <c r="Q68" s="112">
        <f>+I69*Q66</f>
        <v>0</v>
      </c>
      <c r="R68" s="112">
        <f>+I69*R66</f>
        <v>0</v>
      </c>
      <c r="S68" s="112">
        <f>+I69*S66</f>
        <v>0</v>
      </c>
      <c r="T68" s="112"/>
      <c r="U68" s="112">
        <f>SUM(N68:T68)</f>
        <v>0</v>
      </c>
      <c r="V68" s="112"/>
      <c r="W68" s="112"/>
      <c r="X68" s="112"/>
      <c r="Y68" s="112"/>
      <c r="Z68" s="112"/>
    </row>
    <row r="69" s="49" customFormat="1" ht="15.75" spans="4:37">
      <c r="D69" s="109"/>
      <c r="I69" s="112">
        <f>J59*70%</f>
        <v>0</v>
      </c>
      <c r="J69" s="113" t="s">
        <v>142</v>
      </c>
      <c r="K69" s="112"/>
      <c r="L69" s="112"/>
      <c r="M69" s="112"/>
      <c r="N69" s="111">
        <f>N68*N61/2</f>
        <v>0</v>
      </c>
      <c r="O69" s="112">
        <f>O67*N61+O68*N61/2</f>
        <v>0</v>
      </c>
      <c r="P69" s="112">
        <f>P67*N61+P68*N61/2</f>
        <v>0</v>
      </c>
      <c r="Q69" s="112">
        <f>Q67*N61+Q68*N61/2</f>
        <v>0</v>
      </c>
      <c r="R69" s="112">
        <f>R67*N61+R68*N61/2</f>
        <v>0</v>
      </c>
      <c r="S69" s="112">
        <f>S67*N61+S68*N61/2</f>
        <v>0</v>
      </c>
      <c r="T69" s="112"/>
      <c r="U69" s="112">
        <f>SUM(N69:P69)</f>
        <v>0</v>
      </c>
      <c r="V69" s="112"/>
      <c r="W69" s="112"/>
      <c r="X69" s="112"/>
      <c r="Y69" s="112"/>
    </row>
    <row r="70" s="49" customFormat="1" ht="15.75" spans="4:37">
      <c r="D70" s="109"/>
      <c r="I70" s="112"/>
      <c r="J70" s="113" t="s">
        <v>143</v>
      </c>
      <c r="K70" s="112"/>
      <c r="L70" s="112"/>
      <c r="M70" s="112"/>
      <c r="N70" s="111">
        <f>N68+N69</f>
        <v>0</v>
      </c>
      <c r="O70" s="112">
        <f t="shared" ref="O70:S70" si="6">O67+O68+O69</f>
        <v>0</v>
      </c>
      <c r="P70" s="112">
        <f t="shared" si="6"/>
        <v>0</v>
      </c>
      <c r="Q70" s="112">
        <f t="shared" si="6"/>
        <v>0</v>
      </c>
      <c r="R70" s="112">
        <f t="shared" si="6"/>
        <v>0</v>
      </c>
      <c r="S70" s="112">
        <f t="shared" si="6"/>
        <v>0</v>
      </c>
      <c r="T70" s="112"/>
    </row>
    <row r="71" customHeight="1" spans="4:37">
      <c r="F71" s="52"/>
      <c r="G71" s="51"/>
      <c r="H71" s="51"/>
      <c r="I71" s="51"/>
      <c r="L71" s="52"/>
      <c r="N71" s="104"/>
    </row>
    <row r="72" customHeight="1" spans="4:37">
      <c r="F72" s="52"/>
      <c r="G72" s="51"/>
      <c r="H72" s="51"/>
      <c r="I72" s="51"/>
      <c r="L72" s="52"/>
      <c r="N72" s="104"/>
    </row>
    <row r="73" customHeight="1" spans="4:37">
      <c r="E73" s="115" t="s">
        <v>144</v>
      </c>
      <c r="F73" s="116"/>
      <c r="G73" s="116"/>
      <c r="H73" s="116"/>
      <c r="I73" s="116"/>
      <c r="J73" s="117"/>
      <c r="K73" s="116"/>
      <c r="L73" s="116"/>
      <c r="M73" s="118"/>
      <c r="N73" s="104"/>
    </row>
    <row r="74" customHeight="1" spans="4:37">
      <c r="E74" s="119" t="s">
        <v>145</v>
      </c>
      <c r="F74" s="51"/>
      <c r="G74" s="120" t="s">
        <v>146</v>
      </c>
      <c r="H74" s="120" t="s">
        <v>147</v>
      </c>
      <c r="I74" s="120" t="s">
        <v>148</v>
      </c>
      <c r="J74" s="121" t="s">
        <v>149</v>
      </c>
      <c r="K74" s="122" t="s">
        <v>150</v>
      </c>
      <c r="L74" s="51"/>
      <c r="M74" s="123"/>
      <c r="O74" s="124" t="s">
        <v>151</v>
      </c>
    </row>
    <row r="75" customHeight="1" spans="4:37">
      <c r="E75" s="119" t="s">
        <v>152</v>
      </c>
      <c r="F75" s="51"/>
      <c r="G75" s="120">
        <f>+H95</f>
        <v>164.7</v>
      </c>
      <c r="H75" s="120">
        <f>+H95</f>
        <v>164.7</v>
      </c>
      <c r="I75" s="120">
        <f>+H95</f>
        <v>164.7</v>
      </c>
      <c r="J75" s="121">
        <f>+H95</f>
        <v>164.7</v>
      </c>
      <c r="K75" s="122">
        <f>+H95</f>
        <v>164.7</v>
      </c>
      <c r="L75" s="51"/>
      <c r="M75" s="123"/>
    </row>
    <row r="76" customHeight="1" spans="4:37">
      <c r="E76" s="119" t="s">
        <v>153</v>
      </c>
      <c r="F76" s="51"/>
      <c r="G76" s="120" t="s">
        <v>154</v>
      </c>
      <c r="H76" s="120" t="s">
        <v>155</v>
      </c>
      <c r="I76" s="120" t="s">
        <v>156</v>
      </c>
      <c r="J76" s="121" t="s">
        <v>157</v>
      </c>
      <c r="K76" s="122" t="s">
        <v>158</v>
      </c>
      <c r="L76" s="51"/>
      <c r="M76" s="123"/>
      <c r="O76" s="50" t="s">
        <v>159</v>
      </c>
      <c r="P76" s="125" t="s">
        <v>160</v>
      </c>
    </row>
    <row r="77" customHeight="1" spans="4:37">
      <c r="E77" s="126"/>
      <c r="F77" s="51"/>
      <c r="G77" s="50">
        <f>+(14-6)/(10000-3000)*(G75-3000)+6</f>
        <v>2.75965714285714</v>
      </c>
      <c r="H77" s="50">
        <f>+(37-14)/(50000-10000)*(H75-10000)+14</f>
        <v>8.3447025</v>
      </c>
      <c r="I77" s="50">
        <f>+(55-37)/(100000-50000)*(I75-50000)+37</f>
        <v>19.059292</v>
      </c>
      <c r="J77" s="51">
        <f>+(100-55)/(500000-100000)*(J75-100000)+55</f>
        <v>43.76852875</v>
      </c>
      <c r="K77" s="52">
        <f>+(125-100)/(1000000-500000)*(K75-500000)+100</f>
        <v>75.008235</v>
      </c>
      <c r="L77" s="51"/>
      <c r="M77" s="123"/>
      <c r="O77" s="124" t="s">
        <v>161</v>
      </c>
      <c r="P77" s="125" t="s">
        <v>162</v>
      </c>
    </row>
    <row r="78" customHeight="1" spans="4:37">
      <c r="E78" s="119" t="s">
        <v>163</v>
      </c>
      <c r="F78" s="51"/>
      <c r="G78" s="120" t="s">
        <v>164</v>
      </c>
      <c r="H78" s="120" t="s">
        <v>165</v>
      </c>
      <c r="I78" s="120" t="s">
        <v>166</v>
      </c>
      <c r="J78" s="121" t="s">
        <v>167</v>
      </c>
      <c r="K78" s="122" t="s">
        <v>168</v>
      </c>
      <c r="L78" s="51"/>
      <c r="M78" s="123"/>
      <c r="O78" s="124" t="s">
        <v>169</v>
      </c>
      <c r="P78" s="124" t="s">
        <v>170</v>
      </c>
    </row>
    <row r="79" customHeight="1" spans="4:37">
      <c r="E79" s="126"/>
      <c r="F79" s="51"/>
      <c r="G79" s="50">
        <f>+(28-12)/(10000-3000)*(G75-3000)+12</f>
        <v>5.51931428571428</v>
      </c>
      <c r="H79" s="50">
        <f>+(75-28)/(50000-10000)*(H75-10000)+28</f>
        <v>16.4435225</v>
      </c>
      <c r="I79" s="50">
        <f>+(110-75)/(100000-50000)*(I75-50000)+75</f>
        <v>40.11529</v>
      </c>
      <c r="J79" s="51">
        <f>+(200-110)/(500000-100000)*(J75-100000)+110</f>
        <v>87.5370575</v>
      </c>
      <c r="K79" s="52">
        <f>+(250-200)/(1000000-500000)*(K75-500000)+200</f>
        <v>150.01647</v>
      </c>
      <c r="L79" s="51"/>
      <c r="M79" s="123"/>
      <c r="O79" s="124" t="s">
        <v>171</v>
      </c>
      <c r="P79" s="124" t="s">
        <v>172</v>
      </c>
    </row>
    <row r="80" customHeight="1" spans="4:37">
      <c r="E80" s="119" t="s">
        <v>173</v>
      </c>
      <c r="F80" s="51"/>
      <c r="G80" s="120" t="s">
        <v>174</v>
      </c>
      <c r="H80" s="120" t="s">
        <v>175</v>
      </c>
      <c r="I80" s="120" t="s">
        <v>176</v>
      </c>
      <c r="J80" s="121" t="s">
        <v>177</v>
      </c>
      <c r="K80" s="122" t="s">
        <v>178</v>
      </c>
      <c r="L80" s="51"/>
      <c r="M80" s="123"/>
      <c r="O80" s="124" t="s">
        <v>179</v>
      </c>
      <c r="P80" s="124" t="s">
        <v>180</v>
      </c>
    </row>
    <row r="81" customHeight="1" spans="5:16">
      <c r="E81" s="126"/>
      <c r="F81" s="51"/>
      <c r="G81" s="50">
        <f>+(8-4)/(10000-3000)*(G75-3000)+4</f>
        <v>2.37982857142857</v>
      </c>
      <c r="H81" s="50">
        <f>+(12-8)/(50000-10000)*(H75-10000)+8</f>
        <v>7.01647</v>
      </c>
      <c r="I81" s="50">
        <f>+(15-12)/(100000-50000)*(I75-50000)+12</f>
        <v>9.009882</v>
      </c>
      <c r="J81" s="51">
        <f>+(17-15)/(500000-100000)*(J75-100000)+15</f>
        <v>14.5008235</v>
      </c>
      <c r="K81" s="52">
        <f>+(20-17)/(1000000-500000)*(K75-500000)+17</f>
        <v>14.0009882</v>
      </c>
      <c r="L81" s="51"/>
      <c r="M81" s="123"/>
      <c r="O81" s="124" t="s">
        <v>181</v>
      </c>
      <c r="P81" s="124" t="s">
        <v>182</v>
      </c>
    </row>
    <row r="82" customHeight="1" spans="5:16">
      <c r="E82" s="119" t="s">
        <v>183</v>
      </c>
      <c r="F82" s="51"/>
      <c r="G82" s="120" t="s">
        <v>184</v>
      </c>
      <c r="H82" s="120" t="s">
        <v>185</v>
      </c>
      <c r="I82" s="120" t="s">
        <v>186</v>
      </c>
      <c r="J82" s="121" t="s">
        <v>187</v>
      </c>
      <c r="K82" s="122" t="s">
        <v>188</v>
      </c>
      <c r="L82" s="51"/>
      <c r="M82" s="123"/>
      <c r="O82" s="124" t="s">
        <v>189</v>
      </c>
      <c r="P82" s="124" t="s">
        <v>190</v>
      </c>
    </row>
    <row r="83" customHeight="1" spans="5:16">
      <c r="E83" s="126"/>
      <c r="F83" s="51"/>
      <c r="G83" s="50">
        <f>+(10-5)/(10000-3000)*(G75-3000)+5</f>
        <v>2.97478571428571</v>
      </c>
      <c r="H83" s="50">
        <f>+(15-10)/(50000-10000)*(H75-10000)+10</f>
        <v>8.7705875</v>
      </c>
      <c r="I83" s="50">
        <f>+(20-15)/(100000-50000)*(I75-50000)+15</f>
        <v>10.01647</v>
      </c>
      <c r="J83" s="51">
        <f>+(25-20)/(500000-100000)*(J75-100000)+20</f>
        <v>18.75205875</v>
      </c>
      <c r="K83" s="52">
        <f>+(35-25)/(1000000-500000)*(K75-500000)+25</f>
        <v>15.003294</v>
      </c>
      <c r="L83" s="51"/>
      <c r="M83" s="123"/>
    </row>
    <row r="84" customHeight="1" spans="5:16">
      <c r="E84" s="126"/>
      <c r="F84" s="51"/>
      <c r="L84" s="51"/>
      <c r="M84" s="123"/>
    </row>
    <row r="85" customHeight="1" spans="5:16">
      <c r="E85" s="119" t="s">
        <v>138</v>
      </c>
      <c r="F85" s="51"/>
      <c r="G85" s="50">
        <f t="shared" ref="G85:K85" si="7">+G77+G79+G81+G83</f>
        <v>13.6335857142857</v>
      </c>
      <c r="H85" s="50">
        <f t="shared" si="7"/>
        <v>40.5752825</v>
      </c>
      <c r="I85" s="50">
        <f t="shared" si="7"/>
        <v>78.200934</v>
      </c>
      <c r="J85" s="51">
        <f t="shared" si="7"/>
        <v>164.5584685</v>
      </c>
      <c r="K85" s="52">
        <f t="shared" si="7"/>
        <v>254.0289872</v>
      </c>
      <c r="L85" s="51"/>
      <c r="M85" s="123"/>
    </row>
    <row r="86" customHeight="1" spans="5:16">
      <c r="E86" s="126" t="s">
        <v>191</v>
      </c>
      <c r="F86" s="51"/>
      <c r="L86" s="51"/>
      <c r="M86" s="123"/>
    </row>
    <row r="87" customHeight="1" spans="5:16">
      <c r="E87" s="126" t="s">
        <v>192</v>
      </c>
      <c r="F87" s="51">
        <v>0.7</v>
      </c>
      <c r="G87" s="50">
        <f>+G85*F87</f>
        <v>9.54351</v>
      </c>
      <c r="H87" s="50">
        <f>+H85*F87</f>
        <v>28.40269775</v>
      </c>
      <c r="I87" s="50">
        <f>+I85*F87</f>
        <v>54.7406538</v>
      </c>
      <c r="J87" s="51">
        <f>+J85*F87</f>
        <v>115.19092795</v>
      </c>
      <c r="K87" s="52">
        <f>+K85*F87</f>
        <v>177.82029104</v>
      </c>
      <c r="L87" s="51"/>
      <c r="M87" s="123"/>
    </row>
    <row r="88" customHeight="1" spans="5:16">
      <c r="E88" s="126" t="s">
        <v>193</v>
      </c>
      <c r="F88" s="51">
        <v>1.2</v>
      </c>
      <c r="G88" s="50">
        <f>+G87*F88</f>
        <v>11.452212</v>
      </c>
      <c r="H88" s="50">
        <f>+H87*F88</f>
        <v>34.0832373</v>
      </c>
      <c r="I88" s="50">
        <f>+I87*F88</f>
        <v>65.68878456</v>
      </c>
      <c r="J88" s="51">
        <f>+J87*F88</f>
        <v>138.22911354</v>
      </c>
      <c r="K88" s="52">
        <f>+K87*F88</f>
        <v>213.384349248</v>
      </c>
      <c r="L88" s="51"/>
      <c r="M88" s="123"/>
    </row>
    <row r="89" customHeight="1" spans="5:16">
      <c r="E89" s="126"/>
      <c r="F89" s="51"/>
      <c r="G89" s="127">
        <f t="shared" ref="G89:K89" si="8">+G88/G75</f>
        <v>0.0695337704918033</v>
      </c>
      <c r="H89" s="127">
        <f t="shared" si="8"/>
        <v>0.20694133151184</v>
      </c>
      <c r="I89" s="127">
        <f t="shared" si="8"/>
        <v>0.398839007650273</v>
      </c>
      <c r="J89" s="128">
        <f t="shared" si="8"/>
        <v>0.839278163570128</v>
      </c>
      <c r="K89" s="129">
        <f t="shared" si="8"/>
        <v>1.29559410593807</v>
      </c>
      <c r="L89" s="51"/>
      <c r="M89" s="123"/>
    </row>
    <row r="90" customHeight="1" spans="5:16">
      <c r="E90" s="126"/>
      <c r="F90" s="51"/>
      <c r="L90" s="51"/>
      <c r="M90" s="123"/>
    </row>
    <row r="91" customHeight="1" spans="5:16">
      <c r="E91" s="126"/>
      <c r="F91" s="51"/>
      <c r="L91" s="51"/>
      <c r="M91" s="123"/>
    </row>
    <row r="92" customHeight="1" spans="5:16">
      <c r="E92" s="126"/>
      <c r="F92" s="51"/>
      <c r="L92" s="51"/>
      <c r="M92" s="123"/>
    </row>
    <row r="93" customHeight="1" spans="5:16">
      <c r="E93" s="130" t="s">
        <v>194</v>
      </c>
      <c r="F93" s="131"/>
      <c r="G93" s="132"/>
      <c r="H93" s="132"/>
      <c r="I93" s="132"/>
      <c r="J93" s="131"/>
      <c r="K93" s="132"/>
      <c r="L93" s="131"/>
      <c r="M93" s="133"/>
    </row>
    <row r="94" customHeight="1" spans="5:16">
      <c r="E94" s="119" t="s">
        <v>195</v>
      </c>
      <c r="F94" s="51"/>
      <c r="G94" s="52" t="s">
        <v>196</v>
      </c>
      <c r="H94" s="52" t="s">
        <v>152</v>
      </c>
      <c r="I94" s="52" t="s">
        <v>192</v>
      </c>
      <c r="J94" s="51" t="s">
        <v>193</v>
      </c>
      <c r="K94" s="52" t="s">
        <v>197</v>
      </c>
      <c r="L94" s="51" t="s">
        <v>198</v>
      </c>
      <c r="M94" s="123" t="s">
        <v>199</v>
      </c>
    </row>
    <row r="95" customHeight="1" spans="5:16">
      <c r="E95" s="119" t="s">
        <v>145</v>
      </c>
      <c r="F95" s="51"/>
      <c r="G95" s="51" t="str">
        <f>IF(H95&lt;10000,G74,IF(H95&lt;50000,H74,IF(H95&lt;100000,I74,IF(H95&lt;500000,J74,K74))))</f>
        <v>3000万元~1亿万元</v>
      </c>
      <c r="H95" s="134">
        <v>164.7</v>
      </c>
      <c r="I95" s="52"/>
      <c r="L95" s="51"/>
      <c r="M95" s="123"/>
    </row>
    <row r="96" customHeight="1" spans="5:16">
      <c r="E96" s="119" t="s">
        <v>153</v>
      </c>
      <c r="F96" s="51"/>
      <c r="G96" s="51" t="str">
        <f>IF(H95&lt;10000,G76,IF(H95&lt;50000,H76,IF(H95&lt;100000,I76,IF(H95&lt;500000,J76,K76))))</f>
        <v>6~14</v>
      </c>
      <c r="H96" s="50">
        <f>IF(H95&lt;10000,G77,IF(H95&lt;50000,H77,IF(H95&lt;100000,I77,IF(H95&lt;500000,J77,K77))))</f>
        <v>2.75965714285714</v>
      </c>
      <c r="I96" s="120">
        <v>0.7</v>
      </c>
      <c r="J96" s="51">
        <v>1.2</v>
      </c>
      <c r="K96" s="52">
        <f t="shared" ref="K96:K99" si="9">+H96*I96*J96</f>
        <v>2.318112</v>
      </c>
      <c r="L96" s="51">
        <f>SUM(K96:K97)</f>
        <v>6.954336</v>
      </c>
      <c r="M96" s="135">
        <f>SUM(L96:L99)</f>
        <v>11.452212</v>
      </c>
    </row>
    <row r="97" customHeight="1" spans="5:13">
      <c r="E97" s="119" t="s">
        <v>163</v>
      </c>
      <c r="F97" s="51"/>
      <c r="G97" s="51" t="str">
        <f>IF(H95&lt;10000,G78,IF(H95&lt;50000,H78,IF(H95&lt;100000,I78,IF(H95&lt;500000,J78,K78))))</f>
        <v>12~28</v>
      </c>
      <c r="H97" s="50">
        <f>IF(H95&lt;10000,G79,IF(H95&lt;50000,H79,IF(H95&lt;100000,I79,IF(H95&lt;500000,J79,K79))))</f>
        <v>5.51931428571428</v>
      </c>
      <c r="I97" s="120">
        <v>0.7</v>
      </c>
      <c r="J97" s="51">
        <v>1.2</v>
      </c>
      <c r="K97" s="52">
        <f t="shared" si="9"/>
        <v>4.636224</v>
      </c>
      <c r="L97" s="51"/>
      <c r="M97" s="135"/>
    </row>
    <row r="98" customHeight="1" spans="5:13">
      <c r="E98" s="119" t="s">
        <v>173</v>
      </c>
      <c r="F98" s="51"/>
      <c r="G98" s="51" t="str">
        <f>IF(H95&lt;10000,G80,IF(H95&lt;50000,H80,IF(H95&lt;100000,I80,IF(H95&lt;500000,J80,K80))))</f>
        <v>4~8</v>
      </c>
      <c r="H98" s="50">
        <f>IF(H95&lt;10000,G81,IF(H95&lt;50000,H81,IF(H95&lt;100000,I81,IF(H95&lt;500000,J81,K81))))</f>
        <v>2.37982857142857</v>
      </c>
      <c r="I98" s="120">
        <v>0.7</v>
      </c>
      <c r="J98" s="51">
        <v>1.2</v>
      </c>
      <c r="K98" s="52">
        <f t="shared" si="9"/>
        <v>1.999056</v>
      </c>
      <c r="L98" s="51">
        <f>SUM(K98:K99)</f>
        <v>4.497876</v>
      </c>
      <c r="M98" s="135"/>
    </row>
    <row r="99" customHeight="1" spans="5:13">
      <c r="E99" s="119" t="s">
        <v>183</v>
      </c>
      <c r="F99" s="51"/>
      <c r="G99" s="51" t="str">
        <f>IF(H95&lt;10000,G82,IF(H95&lt;50000,H82,IF(H95&lt;100000,I82,IF(H95&lt;500000,J82,K82))))</f>
        <v>5~10</v>
      </c>
      <c r="H99" s="50">
        <f>IF(H95&lt;10000,G83,IF(H95&lt;50000,H83,IF(H95&lt;100000,I83,IF(H95&lt;500000,J83,K83))))</f>
        <v>2.97478571428571</v>
      </c>
      <c r="I99" s="120">
        <v>0.7</v>
      </c>
      <c r="J99" s="51">
        <v>1.2</v>
      </c>
      <c r="K99" s="52">
        <f t="shared" si="9"/>
        <v>2.49882</v>
      </c>
      <c r="L99" s="51"/>
      <c r="M99" s="135"/>
    </row>
    <row r="100" customHeight="1" spans="5:13">
      <c r="E100" s="136" t="s">
        <v>200</v>
      </c>
      <c r="F100" s="137"/>
      <c r="G100" s="138"/>
      <c r="H100" s="138"/>
      <c r="I100" s="138"/>
      <c r="J100" s="137"/>
      <c r="K100" s="139"/>
      <c r="L100" s="137"/>
      <c r="M100" s="140"/>
    </row>
    <row r="102" customHeight="1" spans="5:13">
      <c r="E102" s="141" t="s">
        <v>201</v>
      </c>
      <c r="F102" s="142"/>
      <c r="G102" s="142"/>
      <c r="H102" s="143"/>
      <c r="I102" s="144"/>
      <c r="J102" s="145"/>
      <c r="K102" s="144"/>
      <c r="L102" s="144"/>
      <c r="M102" s="146"/>
    </row>
    <row r="103" customHeight="1" spans="5:13">
      <c r="E103" s="147"/>
      <c r="F103" s="148"/>
      <c r="G103" s="148"/>
      <c r="H103" s="148"/>
      <c r="I103" s="149"/>
      <c r="J103" s="150"/>
      <c r="K103" s="149"/>
      <c r="L103" s="149"/>
      <c r="M103" s="151"/>
    </row>
    <row r="104" customHeight="1" spans="5:13">
      <c r="E104" s="147"/>
      <c r="F104" s="148"/>
      <c r="G104" s="148"/>
      <c r="H104" s="148"/>
      <c r="I104" s="149"/>
      <c r="J104" s="150"/>
      <c r="K104" s="149"/>
      <c r="L104" s="149"/>
      <c r="M104" s="151"/>
    </row>
    <row r="105" customHeight="1" spans="5:13">
      <c r="E105" s="152" t="s">
        <v>202</v>
      </c>
      <c r="F105" s="153"/>
      <c r="G105" s="153"/>
      <c r="H105" s="153"/>
      <c r="I105" s="153"/>
      <c r="J105" s="154"/>
      <c r="K105" s="153"/>
      <c r="L105" s="153"/>
      <c r="M105" s="151"/>
    </row>
    <row r="106" customHeight="1" spans="5:13">
      <c r="E106" s="152" t="s">
        <v>203</v>
      </c>
      <c r="F106" s="153" t="s">
        <v>204</v>
      </c>
      <c r="G106" s="153" t="s">
        <v>205</v>
      </c>
      <c r="H106" s="155" t="s">
        <v>206</v>
      </c>
      <c r="I106" s="155" t="s">
        <v>207</v>
      </c>
      <c r="J106" s="156" t="s">
        <v>208</v>
      </c>
      <c r="K106" s="153" t="s">
        <v>201</v>
      </c>
      <c r="L106" s="153" t="s">
        <v>205</v>
      </c>
      <c r="M106" s="151"/>
    </row>
    <row r="107" customHeight="1" spans="5:13">
      <c r="E107" s="157">
        <v>759.08</v>
      </c>
      <c r="F107" s="158">
        <f>IF(I113&lt;&gt;0,I113,IF(I114&lt;&gt;0,I114,IF(I115&lt;&gt;0,I115,IF(E107&gt;F116,I118,IF(E107&gt;F115,I117,IF(E107&gt;=F114,I116,FALSE))))))</f>
        <v>23.546976</v>
      </c>
      <c r="G107" s="159">
        <f>+F107/E107</f>
        <v>0.0310204141855931</v>
      </c>
      <c r="H107" s="159">
        <v>1</v>
      </c>
      <c r="I107" s="159">
        <v>1</v>
      </c>
      <c r="J107" s="160">
        <v>1</v>
      </c>
      <c r="K107" s="161">
        <f>+F107*H107*I107*J107</f>
        <v>23.546976</v>
      </c>
      <c r="L107" s="159">
        <f>+K107/E107</f>
        <v>0.0310204141855931</v>
      </c>
      <c r="M107" s="151"/>
    </row>
    <row r="108" customHeight="1" spans="5:13">
      <c r="E108" s="162" t="s">
        <v>209</v>
      </c>
      <c r="F108" s="163"/>
      <c r="G108" s="163"/>
      <c r="H108" s="63"/>
      <c r="I108" s="63"/>
      <c r="J108" s="164"/>
      <c r="K108" s="163"/>
      <c r="L108" s="63"/>
      <c r="M108" s="151"/>
    </row>
    <row r="109" customHeight="1" spans="5:13">
      <c r="E109" s="165"/>
      <c r="F109" s="163"/>
      <c r="G109" s="163"/>
      <c r="H109" s="63"/>
      <c r="I109" s="63"/>
      <c r="J109" s="164"/>
      <c r="K109" s="163"/>
      <c r="L109" s="63"/>
      <c r="M109" s="151"/>
    </row>
    <row r="110" customHeight="1" spans="5:13">
      <c r="E110" s="162"/>
      <c r="F110" s="163"/>
      <c r="G110" s="163"/>
      <c r="H110" s="63"/>
      <c r="I110" s="63"/>
      <c r="J110" s="164"/>
      <c r="K110" s="163"/>
      <c r="L110" s="63"/>
      <c r="M110" s="151"/>
    </row>
    <row r="111" customHeight="1" spans="5:13">
      <c r="E111" s="165"/>
      <c r="F111" s="163"/>
      <c r="G111" s="163"/>
      <c r="H111" s="63"/>
      <c r="I111" s="63"/>
      <c r="J111" s="164"/>
      <c r="K111" s="163"/>
      <c r="L111" s="63"/>
      <c r="M111" s="151"/>
    </row>
    <row r="112" customHeight="1" spans="5:13">
      <c r="E112" s="165"/>
      <c r="F112" s="163"/>
      <c r="G112" s="163"/>
      <c r="H112" s="63"/>
      <c r="I112" s="63"/>
      <c r="J112" s="164"/>
      <c r="K112" s="163"/>
      <c r="L112" s="63"/>
      <c r="M112" s="151"/>
    </row>
    <row r="113" customHeight="1" spans="5:13">
      <c r="E113" s="166" t="s">
        <v>25</v>
      </c>
      <c r="F113" s="167" t="s">
        <v>203</v>
      </c>
      <c r="G113" s="167" t="s">
        <v>204</v>
      </c>
      <c r="H113" s="167" t="s">
        <v>205</v>
      </c>
      <c r="I113" s="131">
        <f>IF(E107&gt;F131,E107*1.039%,0)</f>
        <v>0</v>
      </c>
      <c r="J113" s="168"/>
      <c r="K113" s="169"/>
      <c r="L113" s="170"/>
      <c r="M113" s="151"/>
    </row>
    <row r="114" customHeight="1" spans="5:13">
      <c r="E114" s="171">
        <v>1</v>
      </c>
      <c r="F114" s="172">
        <v>500</v>
      </c>
      <c r="G114" s="173">
        <v>16.5</v>
      </c>
      <c r="H114" s="173">
        <f t="shared" ref="H114:H131" si="10">+G114/F114</f>
        <v>0.033</v>
      </c>
      <c r="I114" s="131">
        <f>IF(E107&gt;F130,I132,IF(E107&gt;F129,I131,IF(E107&gt;F128,I130,IF(E107&gt;F127,I129,IF(E107&gt;F126,I128,IF(E107&gt;F125,I127,IF(E107&gt;F124,I126,IF(E107&gt;F123,I125,0))))))))</f>
        <v>0</v>
      </c>
      <c r="J114" s="168"/>
      <c r="K114" s="169"/>
      <c r="L114" s="170"/>
      <c r="M114" s="151"/>
    </row>
    <row r="115" customHeight="1" spans="5:13">
      <c r="E115" s="171">
        <v>2</v>
      </c>
      <c r="F115" s="172">
        <v>1000</v>
      </c>
      <c r="G115" s="173">
        <v>30.1</v>
      </c>
      <c r="H115" s="173">
        <f t="shared" si="10"/>
        <v>0.0301</v>
      </c>
      <c r="I115" s="131">
        <f>IF(I114&lt;&gt;0,I114,IF(E107&gt;F122,I124,IF(E107&gt;F121,I123,IF(E107&gt;F120,I122,IF(E107&gt;F119,I121,IF(E107&gt;F118,I120,IF(E107&gt;F117,I119,IF(E107&gt;F116,I118,0))))))))</f>
        <v>0</v>
      </c>
      <c r="J115" s="168"/>
      <c r="K115" s="169"/>
      <c r="L115" s="170"/>
      <c r="M115" s="151"/>
    </row>
    <row r="116" customHeight="1" spans="5:13">
      <c r="E116" s="171">
        <v>3</v>
      </c>
      <c r="F116" s="172">
        <v>3000</v>
      </c>
      <c r="G116" s="173">
        <v>78.1</v>
      </c>
      <c r="H116" s="173">
        <f t="shared" si="10"/>
        <v>0.0260333333333333</v>
      </c>
      <c r="I116" s="51">
        <f>(G115-G114)/(F115-F114)*(E107-F114)+G114</f>
        <v>23.546976</v>
      </c>
      <c r="J116" s="168"/>
      <c r="K116" s="169"/>
      <c r="L116" s="170"/>
      <c r="M116" s="151"/>
    </row>
    <row r="117" customHeight="1" spans="5:13">
      <c r="E117" s="171">
        <v>4</v>
      </c>
      <c r="F117" s="172">
        <v>5000</v>
      </c>
      <c r="G117" s="173">
        <v>120.8</v>
      </c>
      <c r="H117" s="173">
        <f t="shared" si="10"/>
        <v>0.02416</v>
      </c>
      <c r="I117" s="51">
        <f>(G116-G115)/(F116-F115)*(E107-F115)+G115</f>
        <v>24.31792</v>
      </c>
      <c r="J117" s="168"/>
      <c r="K117" s="169"/>
      <c r="L117" s="170"/>
      <c r="M117" s="151"/>
    </row>
    <row r="118" customHeight="1" spans="5:13">
      <c r="E118" s="171">
        <v>5</v>
      </c>
      <c r="F118" s="172">
        <v>8000</v>
      </c>
      <c r="G118" s="173">
        <v>181</v>
      </c>
      <c r="H118" s="173">
        <f t="shared" si="10"/>
        <v>0.022625</v>
      </c>
      <c r="I118" s="51">
        <f>(G117-G116)/(F117-F116)*(E107-F116)+G116</f>
        <v>30.256358</v>
      </c>
      <c r="J118" s="168"/>
      <c r="K118" s="169"/>
      <c r="L118" s="170"/>
      <c r="M118" s="151"/>
    </row>
    <row r="119" customHeight="1" spans="5:13">
      <c r="E119" s="171">
        <v>6</v>
      </c>
      <c r="F119" s="172">
        <v>10000</v>
      </c>
      <c r="G119" s="173">
        <v>218.6</v>
      </c>
      <c r="H119" s="173">
        <f t="shared" si="10"/>
        <v>0.02186</v>
      </c>
      <c r="I119" s="51">
        <f>(G118-G117)/(F118-F117)*(E107-F117)+G117</f>
        <v>35.698872</v>
      </c>
      <c r="J119" s="168"/>
      <c r="K119" s="169"/>
      <c r="L119" s="170"/>
      <c r="M119" s="151"/>
    </row>
    <row r="120" customHeight="1" spans="5:13">
      <c r="E120" s="171">
        <v>7</v>
      </c>
      <c r="F120" s="172">
        <v>20000</v>
      </c>
      <c r="G120" s="173">
        <v>393.4</v>
      </c>
      <c r="H120" s="173">
        <f t="shared" si="10"/>
        <v>0.01967</v>
      </c>
      <c r="I120" s="51">
        <f>(G119-G118)/(F119-F118)*(E107-F118)+G118</f>
        <v>44.870704</v>
      </c>
      <c r="J120" s="168"/>
      <c r="K120" s="169"/>
      <c r="L120" s="170"/>
      <c r="M120" s="151"/>
    </row>
    <row r="121" customHeight="1" spans="5:13">
      <c r="E121" s="171">
        <v>8</v>
      </c>
      <c r="F121" s="172">
        <v>40000</v>
      </c>
      <c r="G121" s="173">
        <v>708.2</v>
      </c>
      <c r="H121" s="173">
        <f t="shared" si="10"/>
        <v>0.017705</v>
      </c>
      <c r="I121" s="51">
        <f>(G120-G119)/(F120-F119)*(E107-F119)+G119</f>
        <v>57.0687184</v>
      </c>
      <c r="J121" s="168"/>
      <c r="K121" s="169"/>
      <c r="L121" s="170"/>
      <c r="M121" s="151"/>
    </row>
    <row r="122" customHeight="1" spans="5:13">
      <c r="E122" s="171">
        <v>9</v>
      </c>
      <c r="F122" s="172">
        <v>60000</v>
      </c>
      <c r="G122" s="173">
        <v>991.4</v>
      </c>
      <c r="H122" s="173">
        <f t="shared" si="10"/>
        <v>0.0165233333333333</v>
      </c>
      <c r="I122" s="51">
        <f>(G121-G120)/(F121-F120)*(E107-F120)+G120</f>
        <v>90.5479191999999</v>
      </c>
      <c r="J122" s="168"/>
      <c r="K122" s="169"/>
      <c r="L122" s="170"/>
      <c r="M122" s="151"/>
    </row>
    <row r="123" customHeight="1" spans="5:13">
      <c r="E123" s="171">
        <v>10</v>
      </c>
      <c r="F123" s="172">
        <v>80000</v>
      </c>
      <c r="G123" s="173">
        <v>1255.8</v>
      </c>
      <c r="H123" s="173">
        <f t="shared" si="10"/>
        <v>0.0156975</v>
      </c>
      <c r="I123" s="51">
        <f>(G122-G121)/(F122-F121)*(E107-F121)+G121</f>
        <v>152.5485728</v>
      </c>
      <c r="J123" s="168"/>
      <c r="K123" s="169"/>
      <c r="L123" s="170"/>
      <c r="M123" s="151"/>
    </row>
    <row r="124" customHeight="1" spans="5:13">
      <c r="E124" s="171">
        <v>11</v>
      </c>
      <c r="F124" s="172">
        <v>100000</v>
      </c>
      <c r="G124" s="173">
        <v>1507</v>
      </c>
      <c r="H124" s="173">
        <f t="shared" si="10"/>
        <v>0.01507</v>
      </c>
      <c r="I124" s="51">
        <f>(G123-G122)/(F123-F122)*(E107-F122)+G122</f>
        <v>208.2350376</v>
      </c>
      <c r="J124" s="168"/>
      <c r="K124" s="169"/>
      <c r="L124" s="170"/>
      <c r="M124" s="151"/>
    </row>
    <row r="125" customHeight="1" spans="5:13">
      <c r="E125" s="171">
        <v>12</v>
      </c>
      <c r="F125" s="172">
        <v>200000</v>
      </c>
      <c r="G125" s="173">
        <v>2712.5</v>
      </c>
      <c r="H125" s="173">
        <f t="shared" si="10"/>
        <v>0.0135625</v>
      </c>
      <c r="I125" s="51">
        <f>(G124-G123)/(F124-F123)*(E107-F123)+G123</f>
        <v>260.5340448</v>
      </c>
      <c r="J125" s="168"/>
      <c r="K125" s="169"/>
      <c r="L125" s="170"/>
      <c r="M125" s="151"/>
    </row>
    <row r="126" customHeight="1" spans="5:13">
      <c r="E126" s="171">
        <v>13</v>
      </c>
      <c r="F126" s="172">
        <v>400000</v>
      </c>
      <c r="G126" s="173">
        <v>4882.6</v>
      </c>
      <c r="H126" s="173">
        <f t="shared" si="10"/>
        <v>0.0122065</v>
      </c>
      <c r="I126" s="51">
        <f>(G125-G124)/(F125-F124)*(E107-F124)+G124</f>
        <v>310.6507094</v>
      </c>
      <c r="J126" s="168"/>
      <c r="K126" s="169"/>
      <c r="L126" s="170"/>
      <c r="M126" s="151"/>
    </row>
    <row r="127" customHeight="1" spans="5:13">
      <c r="E127" s="171">
        <v>14</v>
      </c>
      <c r="F127" s="172">
        <v>600000</v>
      </c>
      <c r="G127" s="173">
        <v>6835.69</v>
      </c>
      <c r="H127" s="173">
        <f t="shared" si="10"/>
        <v>0.0113928166666667</v>
      </c>
      <c r="I127" s="51">
        <f>(G126-G125)/(F126-F125)*(E107-F125)+G125</f>
        <v>550.63639754</v>
      </c>
      <c r="J127" s="168"/>
      <c r="K127" s="169"/>
      <c r="L127" s="170"/>
      <c r="M127" s="151"/>
    </row>
    <row r="128" customHeight="1" spans="5:13">
      <c r="E128" s="171">
        <v>15</v>
      </c>
      <c r="F128" s="172">
        <v>800000</v>
      </c>
      <c r="G128" s="173">
        <v>8658.4</v>
      </c>
      <c r="H128" s="173">
        <f t="shared" si="10"/>
        <v>0.010823</v>
      </c>
      <c r="I128" s="51">
        <f>(G127-G126)/(F127-F126)*(E107-F126)+G126</f>
        <v>983.832757786002</v>
      </c>
      <c r="J128" s="168"/>
      <c r="K128" s="169"/>
      <c r="L128" s="170"/>
      <c r="M128" s="151"/>
    </row>
    <row r="129" customHeight="1" spans="5:13">
      <c r="E129" s="171">
        <v>16</v>
      </c>
      <c r="F129" s="172">
        <v>1000000</v>
      </c>
      <c r="G129" s="173">
        <v>10390.1</v>
      </c>
      <c r="H129" s="173">
        <f t="shared" si="10"/>
        <v>0.0103901</v>
      </c>
      <c r="I129" s="51">
        <f>(G128-G127)/(F128-F127)*(E107-F127)+G127</f>
        <v>1374.477913534</v>
      </c>
      <c r="J129" s="168"/>
      <c r="K129" s="169"/>
      <c r="L129" s="170"/>
      <c r="M129" s="151"/>
    </row>
    <row r="130" customHeight="1" spans="5:13">
      <c r="E130" s="171">
        <v>17</v>
      </c>
      <c r="F130" s="172">
        <v>2000000</v>
      </c>
      <c r="G130" s="173">
        <f>+H129*F130</f>
        <v>20780.2</v>
      </c>
      <c r="H130" s="173">
        <f t="shared" si="10"/>
        <v>0.0103901</v>
      </c>
      <c r="I130" s="51">
        <f>(G129-G128)/(F129-F128)*(E107-F128)+G128</f>
        <v>1738.17249418</v>
      </c>
      <c r="J130" s="168"/>
      <c r="K130" s="169"/>
      <c r="L130" s="170"/>
      <c r="M130" s="151"/>
    </row>
    <row r="131" customHeight="1" spans="5:13">
      <c r="E131" s="174">
        <v>18</v>
      </c>
      <c r="F131" s="175">
        <v>3000000</v>
      </c>
      <c r="G131" s="176">
        <f>+H129*F131</f>
        <v>31170.3</v>
      </c>
      <c r="H131" s="176">
        <f t="shared" si="10"/>
        <v>0.0103901</v>
      </c>
      <c r="I131" s="51">
        <f>(G130-G129)/(F130-F129)*(E107-F129)+G129</f>
        <v>7.88691710799867</v>
      </c>
      <c r="J131" s="168"/>
      <c r="K131" s="169"/>
      <c r="L131" s="170"/>
      <c r="M131" s="151"/>
    </row>
    <row r="132" customHeight="1" spans="5:13">
      <c r="E132" s="177"/>
      <c r="G132" s="52"/>
      <c r="H132" s="52"/>
      <c r="I132" s="178"/>
      <c r="M132" s="151"/>
    </row>
    <row r="133" customHeight="1" spans="5:13">
      <c r="E133" s="179" t="s">
        <v>210</v>
      </c>
      <c r="F133" s="180"/>
      <c r="G133" s="180"/>
      <c r="H133" s="181"/>
      <c r="I133" s="181"/>
      <c r="J133" s="182"/>
      <c r="K133" s="180"/>
      <c r="L133" s="181"/>
      <c r="M133" s="140"/>
    </row>
    <row r="135" customHeight="1" spans="5:13">
      <c r="E135" s="183" t="s">
        <v>211</v>
      </c>
      <c r="F135" s="184"/>
      <c r="G135" s="184"/>
      <c r="H135" s="184"/>
      <c r="I135" s="184"/>
      <c r="J135" s="185"/>
      <c r="K135" s="184"/>
      <c r="L135" s="184"/>
      <c r="M135" s="186"/>
    </row>
    <row r="136" customHeight="1" spans="5:13">
      <c r="E136" s="187"/>
      <c r="F136" s="150"/>
      <c r="G136" s="148"/>
      <c r="H136" s="148"/>
      <c r="I136" s="149"/>
      <c r="J136" s="150"/>
      <c r="K136" s="149"/>
      <c r="L136" s="150"/>
      <c r="M136" s="188"/>
    </row>
    <row r="137" customHeight="1" spans="5:13">
      <c r="E137" s="119" t="s">
        <v>145</v>
      </c>
      <c r="F137" s="51"/>
      <c r="G137" s="120" t="s">
        <v>212</v>
      </c>
      <c r="H137" s="120" t="s">
        <v>213</v>
      </c>
      <c r="I137" s="120" t="s">
        <v>214</v>
      </c>
      <c r="J137" s="121" t="s">
        <v>149</v>
      </c>
      <c r="K137" s="122" t="s">
        <v>215</v>
      </c>
      <c r="L137" s="121" t="s">
        <v>216</v>
      </c>
      <c r="M137" s="123"/>
    </row>
    <row r="138" customHeight="1" spans="5:13">
      <c r="E138" s="119" t="s">
        <v>152</v>
      </c>
      <c r="F138" s="51"/>
      <c r="G138" s="120">
        <f>+H153</f>
        <v>1146863</v>
      </c>
      <c r="H138" s="120">
        <f>+H153</f>
        <v>1146863</v>
      </c>
      <c r="I138" s="120">
        <f>+H153</f>
        <v>1146863</v>
      </c>
      <c r="J138" s="121">
        <f>+H153</f>
        <v>1146863</v>
      </c>
      <c r="K138" s="122">
        <f>+H153</f>
        <v>1146863</v>
      </c>
      <c r="L138" s="121">
        <f>+H153</f>
        <v>1146863</v>
      </c>
      <c r="M138" s="123"/>
    </row>
    <row r="139" customHeight="1" spans="5:13">
      <c r="E139" s="119" t="s">
        <v>217</v>
      </c>
      <c r="F139" s="51"/>
      <c r="G139" s="120" t="s">
        <v>218</v>
      </c>
      <c r="H139" s="120" t="s">
        <v>219</v>
      </c>
      <c r="I139" s="120" t="s">
        <v>220</v>
      </c>
      <c r="J139" s="121" t="s">
        <v>221</v>
      </c>
      <c r="K139" s="122" t="s">
        <v>222</v>
      </c>
      <c r="L139" s="121">
        <v>110</v>
      </c>
      <c r="M139" s="123"/>
    </row>
    <row r="140" customHeight="1" spans="5:13">
      <c r="E140" s="126"/>
      <c r="F140" s="51"/>
      <c r="G140" s="50">
        <f>+(6-5)/(3000)*(G138-0)+5</f>
        <v>387.287666666667</v>
      </c>
      <c r="H140" s="50">
        <f>+(15-6)/(20000-3000)*(H138-3000)+6</f>
        <v>611.574529411765</v>
      </c>
      <c r="I140" s="50">
        <f>+(35-15)/(100000-20000)*(I138-20000)+15</f>
        <v>296.71575</v>
      </c>
      <c r="J140" s="51">
        <f>+(75-35)/(500000-100000)*(J138-100000)+35</f>
        <v>139.6863</v>
      </c>
      <c r="K140" s="52">
        <f>+(100-75)/(1000000-500000)*(K138-500000)+75</f>
        <v>107.34315</v>
      </c>
      <c r="L140" s="51">
        <f>+(100-75)/(1000000-500000)*(L138-500000)+75</f>
        <v>107.34315</v>
      </c>
      <c r="M140" s="123"/>
    </row>
    <row r="141" customHeight="1" spans="5:13">
      <c r="E141" s="119" t="s">
        <v>223</v>
      </c>
      <c r="F141" s="51"/>
      <c r="G141" s="120" t="s">
        <v>224</v>
      </c>
      <c r="H141" s="120" t="s">
        <v>225</v>
      </c>
      <c r="I141" s="120" t="s">
        <v>226</v>
      </c>
      <c r="J141" s="121" t="s">
        <v>227</v>
      </c>
      <c r="K141" s="120"/>
      <c r="L141" s="121"/>
      <c r="M141" s="123"/>
    </row>
    <row r="142" customHeight="1" spans="5:13">
      <c r="E142" s="126"/>
      <c r="F142" s="51"/>
      <c r="G142" s="50">
        <f>+(2-1)/(3000)*(G138-0)+1</f>
        <v>383.287666666667</v>
      </c>
      <c r="H142" s="50">
        <f>+(4-2)/(20000-3000)*(H138-3000)+2</f>
        <v>136.572117647059</v>
      </c>
      <c r="I142" s="50">
        <f t="shared" ref="I142:L142" si="11">+(7-4)/(100000-20000)*(I138-20000)+4</f>
        <v>46.2573625</v>
      </c>
      <c r="J142" s="51">
        <f t="shared" si="11"/>
        <v>46.2573625</v>
      </c>
      <c r="K142" s="52">
        <f t="shared" si="11"/>
        <v>46.2573625</v>
      </c>
      <c r="L142" s="51">
        <f t="shared" si="11"/>
        <v>46.2573625</v>
      </c>
      <c r="M142" s="123"/>
    </row>
    <row r="143" customHeight="1" spans="5:13">
      <c r="E143" s="119" t="s">
        <v>228</v>
      </c>
      <c r="F143" s="51"/>
      <c r="G143" s="120" t="s">
        <v>229</v>
      </c>
      <c r="H143" s="120" t="s">
        <v>230</v>
      </c>
      <c r="I143" s="120" t="s">
        <v>231</v>
      </c>
      <c r="J143" s="121" t="s">
        <v>232</v>
      </c>
      <c r="K143" s="122" t="s">
        <v>233</v>
      </c>
      <c r="L143" s="121" t="s">
        <v>234</v>
      </c>
      <c r="M143" s="123"/>
    </row>
    <row r="144" customHeight="1" spans="5:13">
      <c r="E144" s="126"/>
      <c r="F144" s="51"/>
      <c r="G144" s="50">
        <f>+(1.5-0.8)/(3000)*(G138-0)+0.8</f>
        <v>268.401366666667</v>
      </c>
      <c r="H144" s="50">
        <f>+(3-1.5)/(20000-3000)*(H138-3000)+1.5</f>
        <v>102.429088235294</v>
      </c>
      <c r="I144" s="50">
        <f>+(7-3)/(100000-20000)*(I138-20000)+3</f>
        <v>59.34315</v>
      </c>
      <c r="J144" s="51">
        <f>+(9-7)/(500000-100000)*(J138-100000)+7</f>
        <v>12.234315</v>
      </c>
      <c r="K144" s="52">
        <f>+(13-9)/(1000000-500000)*(K138-500000)+9</f>
        <v>14.174904</v>
      </c>
      <c r="L144" s="51">
        <f>+(13-9)/(1000000-500000)*(L138-500000)+9</f>
        <v>14.174904</v>
      </c>
      <c r="M144" s="123"/>
    </row>
    <row r="145" customHeight="1" spans="5:13">
      <c r="E145" s="119" t="s">
        <v>235</v>
      </c>
      <c r="F145" s="51"/>
      <c r="G145" s="120" t="s">
        <v>236</v>
      </c>
      <c r="H145" s="120" t="s">
        <v>229</v>
      </c>
      <c r="I145" s="120" t="s">
        <v>237</v>
      </c>
      <c r="J145" s="121" t="s">
        <v>238</v>
      </c>
      <c r="K145" s="120"/>
      <c r="L145" s="121"/>
      <c r="M145" s="123"/>
    </row>
    <row r="146" customHeight="1" spans="5:13">
      <c r="E146" s="126"/>
      <c r="F146" s="51"/>
      <c r="G146" s="50">
        <f>+(0.8-0.5)/(3000)*(G138-0)+0.5</f>
        <v>115.1863</v>
      </c>
      <c r="H146" s="50">
        <f>+(1.5-0.8)/(20000-3000)*(H138-3000)+0.8</f>
        <v>47.9002411764706</v>
      </c>
      <c r="I146" s="50">
        <f t="shared" ref="I146:L146" si="12">+(2-1.5)/(100000-20000)*(I138-20000)+1.5</f>
        <v>8.54289375</v>
      </c>
      <c r="J146" s="51">
        <f t="shared" si="12"/>
        <v>8.54289375</v>
      </c>
      <c r="K146" s="52">
        <f t="shared" si="12"/>
        <v>8.54289375</v>
      </c>
      <c r="L146" s="51">
        <f t="shared" si="12"/>
        <v>8.54289375</v>
      </c>
      <c r="M146" s="123"/>
    </row>
    <row r="147" customHeight="1" spans="5:13">
      <c r="E147" s="126"/>
      <c r="F147" s="51"/>
      <c r="L147" s="51"/>
      <c r="M147" s="123"/>
    </row>
    <row r="148" customHeight="1" spans="5:13">
      <c r="E148" s="119" t="s">
        <v>138</v>
      </c>
      <c r="F148" s="51"/>
      <c r="G148" s="48">
        <f t="shared" ref="G148:L148" si="13">+G140+G142+G144+G146</f>
        <v>1154.163</v>
      </c>
      <c r="H148" s="48">
        <f t="shared" si="13"/>
        <v>898.475976470588</v>
      </c>
      <c r="I148" s="48">
        <f t="shared" si="13"/>
        <v>410.85915625</v>
      </c>
      <c r="J148" s="131">
        <f t="shared" si="13"/>
        <v>206.72087125</v>
      </c>
      <c r="K148" s="132">
        <f t="shared" si="13"/>
        <v>176.31831025</v>
      </c>
      <c r="L148" s="131">
        <f t="shared" si="13"/>
        <v>176.31831025</v>
      </c>
      <c r="M148" s="123"/>
    </row>
    <row r="149" customHeight="1" spans="5:13">
      <c r="E149" s="126"/>
      <c r="F149" s="51"/>
      <c r="L149" s="51"/>
      <c r="M149" s="123"/>
    </row>
    <row r="150" customHeight="1" spans="5:13">
      <c r="E150" s="126"/>
      <c r="F150" s="51"/>
      <c r="L150" s="51"/>
      <c r="M150" s="123"/>
    </row>
    <row r="151" customHeight="1" spans="5:13">
      <c r="E151" s="130" t="s">
        <v>239</v>
      </c>
      <c r="F151" s="131"/>
      <c r="G151" s="132"/>
      <c r="H151" s="132"/>
      <c r="I151" s="132"/>
      <c r="J151" s="131"/>
      <c r="K151" s="132"/>
      <c r="L151" s="131"/>
      <c r="M151" s="133"/>
    </row>
    <row r="152" customHeight="1" spans="5:13">
      <c r="E152" s="119" t="s">
        <v>195</v>
      </c>
      <c r="F152" s="51"/>
      <c r="G152" s="52" t="s">
        <v>196</v>
      </c>
      <c r="H152" s="52" t="s">
        <v>152</v>
      </c>
      <c r="I152" s="52" t="s">
        <v>192</v>
      </c>
      <c r="J152" s="51" t="s">
        <v>240</v>
      </c>
      <c r="K152" s="52" t="s">
        <v>197</v>
      </c>
      <c r="L152" s="51" t="s">
        <v>198</v>
      </c>
      <c r="M152" s="123" t="s">
        <v>199</v>
      </c>
    </row>
    <row r="153" customHeight="1" spans="5:13">
      <c r="E153" s="119" t="s">
        <v>145</v>
      </c>
      <c r="F153" s="51"/>
      <c r="G153" s="51" t="str">
        <f>IF(H153&lt;3000,G137,IF(H153&lt;20000,H137,IF(H153&lt;100000,I137,IF(H153&lt;500000,J137,IF(H153&lt;1000000,K137,L137)))))</f>
        <v>100亿元以上</v>
      </c>
      <c r="H153" s="134">
        <v>1146863</v>
      </c>
      <c r="I153" s="52"/>
      <c r="L153" s="51"/>
      <c r="M153" s="123"/>
    </row>
    <row r="154" customHeight="1" spans="5:13">
      <c r="E154" s="119" t="s">
        <v>153</v>
      </c>
      <c r="F154" s="51"/>
      <c r="G154" s="51">
        <f>IF(H153&lt;3000,G139,IF(H153&lt;20000,H139,IF(H153&lt;100000,I139,IF(H153&lt;500000,J139,IF(H153&lt;1000000,K139,L139)))))</f>
        <v>110</v>
      </c>
      <c r="H154" s="50">
        <f>IF(H153&lt;3000,G140,IF(H153&lt;20000,H140,IF(H153&lt;100000,I140,IF(H153&lt;500000,J140,IF(H153&lt;1000000,K140,L140)))))</f>
        <v>107.34315</v>
      </c>
      <c r="I154" s="120">
        <v>1</v>
      </c>
      <c r="J154" s="51">
        <v>0.8</v>
      </c>
      <c r="K154" s="52">
        <f t="shared" ref="K154:K157" si="14">+H154*I154*J154</f>
        <v>85.87452</v>
      </c>
      <c r="L154" s="51">
        <f>SUM(K154:K155)</f>
        <v>122.88041</v>
      </c>
      <c r="M154" s="135">
        <f>SUM(L154:L157)</f>
        <v>141.0546482</v>
      </c>
    </row>
    <row r="155" customHeight="1" spans="5:13">
      <c r="E155" s="119" t="s">
        <v>163</v>
      </c>
      <c r="F155" s="51"/>
      <c r="G155" s="51">
        <f>IF(H153&lt;3000,G141,IF(H153&lt;20000,H141,IF(H153&lt;100000,I141,IF(H153&lt;500000,J141,IF(H153&lt;1000000,K141,L141)))))</f>
        <v>0</v>
      </c>
      <c r="H155" s="50">
        <f>IF(H153&lt;3000,G142,IF(H153&lt;20000,H142,IF(H153&lt;100000,I142,IF(H153&lt;500000,J142,IF(H153&lt;1000000,K142,L142)))))</f>
        <v>46.2573625</v>
      </c>
      <c r="I155" s="120">
        <v>1</v>
      </c>
      <c r="J155" s="51">
        <f t="shared" ref="J155:J157" si="15">+J154</f>
        <v>0.8</v>
      </c>
      <c r="K155" s="52">
        <f t="shared" si="14"/>
        <v>37.00589</v>
      </c>
      <c r="L155" s="51"/>
      <c r="M155" s="135"/>
    </row>
    <row r="156" customHeight="1" spans="5:13">
      <c r="E156" s="119" t="s">
        <v>173</v>
      </c>
      <c r="F156" s="51"/>
      <c r="G156" s="51" t="str">
        <f>IF(H153&lt;3000,G143,IF(H153&lt;20000,H143,IF(H153&lt;100000,I143,IF(H153&lt;500000,J143,IF(H153&lt;1000000,K143,L143)))))</f>
        <v>13以上</v>
      </c>
      <c r="H156" s="50">
        <f>IF(H153&lt;3000,G144,IF(H153&lt;20000,H144,IF(H153&lt;100000,I144,IF(H153&lt;500000,J144,IF(H153&lt;1000000,K144,L144)))))</f>
        <v>14.174904</v>
      </c>
      <c r="I156" s="120">
        <v>1</v>
      </c>
      <c r="J156" s="51">
        <f t="shared" si="15"/>
        <v>0.8</v>
      </c>
      <c r="K156" s="52">
        <f t="shared" si="14"/>
        <v>11.3399232</v>
      </c>
      <c r="L156" s="51">
        <f>SUM(K156:K157)</f>
        <v>18.1742382</v>
      </c>
      <c r="M156" s="135"/>
    </row>
    <row r="157" customHeight="1" spans="5:13">
      <c r="E157" s="119" t="s">
        <v>183</v>
      </c>
      <c r="F157" s="51"/>
      <c r="G157" s="51">
        <f>IF(H153&lt;3000,G145,IF(H153&lt;20000,H145,IF(H153&lt;100000,I145,IF(H153&lt;500000,J145,IF(H153&lt;1000000,K145,L145)))))</f>
        <v>0</v>
      </c>
      <c r="H157" s="50">
        <f>IF(H153&lt;3000,G146,IF(H153&lt;20000,H146,IF(H153&lt;100000,I146,IF(H153&lt;500000,J146,IF(H153&lt;1000000,K146,L146)))))</f>
        <v>8.54289375</v>
      </c>
      <c r="I157" s="120">
        <v>1</v>
      </c>
      <c r="J157" s="51">
        <f t="shared" si="15"/>
        <v>0.8</v>
      </c>
      <c r="K157" s="52">
        <f t="shared" si="14"/>
        <v>6.834315</v>
      </c>
      <c r="L157" s="51"/>
      <c r="M157" s="135"/>
    </row>
    <row r="158" customHeight="1" spans="5:13">
      <c r="E158" s="136" t="s">
        <v>241</v>
      </c>
      <c r="F158" s="137"/>
      <c r="G158" s="138"/>
      <c r="H158" s="138"/>
      <c r="I158" s="138"/>
      <c r="J158" s="137"/>
      <c r="K158" s="139"/>
      <c r="L158" s="137"/>
      <c r="M158" s="140"/>
    </row>
    <row r="160" customHeight="1" spans="5:13">
      <c r="E160" s="189" t="s">
        <v>242</v>
      </c>
      <c r="F160" s="190"/>
      <c r="G160" s="190"/>
      <c r="H160" s="190"/>
      <c r="I160" s="190"/>
      <c r="J160" s="191"/>
      <c r="K160" s="192"/>
      <c r="L160" s="193"/>
      <c r="M160" s="194"/>
    </row>
    <row r="161" customHeight="1" spans="5:14">
      <c r="E161" s="174" t="s">
        <v>243</v>
      </c>
      <c r="F161" s="195"/>
      <c r="G161" s="196" t="s">
        <v>244</v>
      </c>
      <c r="H161" s="195" t="s">
        <v>245</v>
      </c>
      <c r="I161" s="51"/>
      <c r="M161" s="197"/>
    </row>
    <row r="162" customHeight="1" spans="5:14">
      <c r="E162" s="198"/>
      <c r="F162" s="199">
        <v>100</v>
      </c>
      <c r="G162" s="200">
        <v>1</v>
      </c>
      <c r="H162" s="200">
        <f>F162*G162/100</f>
        <v>1</v>
      </c>
      <c r="I162" s="128">
        <f t="shared" ref="I162:I166" si="16">+H162/F162</f>
        <v>0.01</v>
      </c>
      <c r="M162" s="197"/>
    </row>
    <row r="163" customHeight="1" spans="5:14">
      <c r="E163" s="198">
        <f t="shared" ref="E163:E168" si="17">+F162</f>
        <v>100</v>
      </c>
      <c r="F163" s="201">
        <v>500</v>
      </c>
      <c r="G163" s="200">
        <v>0.7</v>
      </c>
      <c r="H163" s="200">
        <f t="shared" ref="H163:H167" si="18">(F163-E163)*G163/100+H162</f>
        <v>3.8</v>
      </c>
      <c r="I163" s="128">
        <f t="shared" si="16"/>
        <v>0.0076</v>
      </c>
      <c r="M163" s="197"/>
    </row>
    <row r="164" customHeight="1" spans="5:14">
      <c r="E164" s="198">
        <f t="shared" si="17"/>
        <v>500</v>
      </c>
      <c r="F164" s="199">
        <v>1000</v>
      </c>
      <c r="G164" s="200">
        <v>0.55</v>
      </c>
      <c r="H164" s="200">
        <f t="shared" si="18"/>
        <v>6.55</v>
      </c>
      <c r="I164" s="128">
        <f t="shared" si="16"/>
        <v>0.00655</v>
      </c>
      <c r="M164" s="197"/>
    </row>
    <row r="165" customHeight="1" spans="5:14">
      <c r="E165" s="198">
        <f t="shared" si="17"/>
        <v>1000</v>
      </c>
      <c r="F165" s="199">
        <v>5000</v>
      </c>
      <c r="G165" s="200">
        <v>0.35</v>
      </c>
      <c r="H165" s="200">
        <f t="shared" si="18"/>
        <v>20.55</v>
      </c>
      <c r="I165" s="128">
        <f t="shared" si="16"/>
        <v>0.00411</v>
      </c>
      <c r="M165" s="197"/>
    </row>
    <row r="166" customHeight="1" spans="5:14">
      <c r="E166" s="198">
        <f t="shared" si="17"/>
        <v>5000</v>
      </c>
      <c r="F166" s="199">
        <v>10000</v>
      </c>
      <c r="G166" s="200">
        <v>0.2</v>
      </c>
      <c r="H166" s="200">
        <f t="shared" si="18"/>
        <v>30.55</v>
      </c>
      <c r="I166" s="128">
        <f t="shared" si="16"/>
        <v>0.003055</v>
      </c>
      <c r="M166" s="197"/>
    </row>
    <row r="167" customHeight="1" spans="5:14">
      <c r="E167" s="198">
        <f t="shared" si="17"/>
        <v>10000</v>
      </c>
      <c r="F167" s="199">
        <v>100000</v>
      </c>
      <c r="G167" s="200">
        <v>0.05</v>
      </c>
      <c r="H167" s="200">
        <f t="shared" si="18"/>
        <v>75.55</v>
      </c>
      <c r="I167" s="128"/>
      <c r="M167" s="197"/>
    </row>
    <row r="168" customHeight="1" spans="5:14">
      <c r="E168" s="198">
        <f t="shared" si="17"/>
        <v>100000</v>
      </c>
      <c r="F168" s="199"/>
      <c r="G168" s="200">
        <v>0.01</v>
      </c>
      <c r="H168" s="200"/>
      <c r="I168" s="51"/>
      <c r="M168" s="197"/>
    </row>
    <row r="169" customHeight="1" spans="5:14">
      <c r="E169" s="198"/>
      <c r="F169" s="202">
        <v>759.08</v>
      </c>
      <c r="G169" s="203">
        <f>IF(F169&lt;=F162,F169*G162%,IF(F169&lt;=F163,H162+(F169-F162)*G163%,IF(F169&lt;=F164,H163+(F169-F163)*G164%,IF(F169&lt;=F165,H164+(F169-F164)*G165%,IF(F169&lt;=F166,H165+(F169-F165)*G166%,IF(F169&lt;=F167,H166+(F169-F166)*G167%,H167+(F169-F167)*G168%))))))</f>
        <v>5.22494</v>
      </c>
      <c r="H169" s="200"/>
      <c r="I169" s="128">
        <f>+G169/F169</f>
        <v>0.00688325341202508</v>
      </c>
      <c r="M169" s="197"/>
    </row>
    <row r="170" customHeight="1" spans="5:14">
      <c r="E170" s="204" t="s">
        <v>246</v>
      </c>
      <c r="F170" s="205"/>
      <c r="G170" s="205"/>
      <c r="H170" s="205"/>
      <c r="I170" s="205"/>
      <c r="J170" s="206"/>
      <c r="K170" s="207"/>
      <c r="L170" s="205"/>
      <c r="M170" s="208"/>
    </row>
    <row r="173" customHeight="1" spans="5:14">
      <c r="E173" s="209" t="s">
        <v>247</v>
      </c>
      <c r="F173" s="210"/>
      <c r="G173" s="210"/>
      <c r="H173" s="210"/>
      <c r="I173" s="210"/>
      <c r="J173" s="211"/>
      <c r="K173" s="212"/>
      <c r="L173" s="210"/>
      <c r="M173" s="213"/>
      <c r="N173" s="214"/>
    </row>
    <row r="174" customHeight="1" spans="5:14">
      <c r="E174" s="215"/>
      <c r="F174" s="52"/>
      <c r="G174" s="52"/>
      <c r="L174" s="52"/>
      <c r="M174" s="178"/>
      <c r="N174" s="216"/>
    </row>
    <row r="175" customHeight="1" spans="5:14">
      <c r="E175" s="215"/>
      <c r="F175" s="217"/>
      <c r="G175" s="217"/>
      <c r="H175" s="217"/>
      <c r="I175" s="217"/>
      <c r="J175" s="218"/>
      <c r="K175" s="219"/>
      <c r="L175" s="217"/>
      <c r="M175" s="217"/>
      <c r="N175" s="220"/>
    </row>
    <row r="176" customHeight="1" spans="5:14">
      <c r="E176" s="215"/>
      <c r="F176" s="221" t="s">
        <v>243</v>
      </c>
      <c r="G176" s="222"/>
      <c r="H176" s="223" t="s">
        <v>244</v>
      </c>
      <c r="I176" s="224" t="s">
        <v>248</v>
      </c>
      <c r="J176" s="225"/>
      <c r="K176" s="219"/>
      <c r="L176" s="217"/>
      <c r="M176" s="217"/>
      <c r="N176" s="220"/>
    </row>
    <row r="177" customHeight="1" spans="5:14">
      <c r="E177" s="226"/>
      <c r="F177" s="224"/>
      <c r="G177" s="227">
        <v>500</v>
      </c>
      <c r="H177" s="228">
        <v>2</v>
      </c>
      <c r="I177" s="224">
        <f>G177*H177/100</f>
        <v>10</v>
      </c>
      <c r="J177" s="128">
        <f t="shared" ref="J177:J182" si="19">+I177/G177</f>
        <v>0.02</v>
      </c>
      <c r="K177" s="229"/>
      <c r="L177" s="229"/>
      <c r="M177" s="230"/>
      <c r="N177" s="231"/>
    </row>
    <row r="178" customHeight="1" spans="5:14">
      <c r="E178" s="232"/>
      <c r="F178" s="224">
        <f t="shared" ref="F178:F183" si="20">+G177</f>
        <v>500</v>
      </c>
      <c r="G178" s="224">
        <v>1000</v>
      </c>
      <c r="H178" s="228">
        <v>2</v>
      </c>
      <c r="I178" s="224">
        <f t="shared" ref="I178:I182" si="21">(G178-F178)*H178/100+I177</f>
        <v>20</v>
      </c>
      <c r="J178" s="128">
        <f t="shared" si="19"/>
        <v>0.02</v>
      </c>
      <c r="K178" s="233"/>
      <c r="L178" s="234"/>
      <c r="M178" s="52"/>
      <c r="N178" s="235"/>
    </row>
    <row r="179" customHeight="1" spans="5:14">
      <c r="E179" s="232"/>
      <c r="F179" s="224">
        <f t="shared" si="20"/>
        <v>1000</v>
      </c>
      <c r="G179" s="227">
        <v>5000</v>
      </c>
      <c r="H179" s="228">
        <v>1.5</v>
      </c>
      <c r="I179" s="224">
        <f t="shared" si="21"/>
        <v>80</v>
      </c>
      <c r="J179" s="128">
        <f t="shared" si="19"/>
        <v>0.016</v>
      </c>
      <c r="M179" s="52"/>
      <c r="N179" s="235"/>
    </row>
    <row r="180" customHeight="1" spans="5:14">
      <c r="E180" s="232"/>
      <c r="F180" s="224">
        <f t="shared" si="20"/>
        <v>5000</v>
      </c>
      <c r="G180" s="227">
        <v>10000</v>
      </c>
      <c r="H180" s="228">
        <v>1.2</v>
      </c>
      <c r="I180" s="224">
        <f t="shared" si="21"/>
        <v>140</v>
      </c>
      <c r="J180" s="128">
        <f t="shared" si="19"/>
        <v>0.014</v>
      </c>
      <c r="M180" s="52"/>
      <c r="N180" s="235"/>
    </row>
    <row r="181" customHeight="1" spans="5:14">
      <c r="E181" s="232"/>
      <c r="F181" s="224">
        <f t="shared" si="20"/>
        <v>10000</v>
      </c>
      <c r="G181" s="227">
        <v>50000</v>
      </c>
      <c r="H181" s="228">
        <v>1</v>
      </c>
      <c r="I181" s="224">
        <f t="shared" si="21"/>
        <v>540</v>
      </c>
      <c r="J181" s="128">
        <f t="shared" si="19"/>
        <v>0.0108</v>
      </c>
      <c r="M181" s="52"/>
      <c r="N181" s="235"/>
    </row>
    <row r="182" customHeight="1" spans="5:14">
      <c r="E182" s="232"/>
      <c r="F182" s="224">
        <f t="shared" si="20"/>
        <v>50000</v>
      </c>
      <c r="G182" s="227">
        <v>100000</v>
      </c>
      <c r="H182" s="228">
        <v>0.8</v>
      </c>
      <c r="I182" s="224">
        <f t="shared" si="21"/>
        <v>940</v>
      </c>
      <c r="J182" s="128">
        <f t="shared" si="19"/>
        <v>0.0094</v>
      </c>
      <c r="M182" s="52"/>
      <c r="N182" s="235"/>
    </row>
    <row r="183" customHeight="1" spans="5:14">
      <c r="E183" s="232"/>
      <c r="F183" s="224">
        <f t="shared" si="20"/>
        <v>100000</v>
      </c>
      <c r="G183" s="227"/>
      <c r="H183" s="228">
        <v>0.4</v>
      </c>
      <c r="I183" s="224"/>
      <c r="J183" s="225"/>
      <c r="M183" s="52"/>
      <c r="N183" s="235"/>
    </row>
    <row r="184" customHeight="1" spans="5:14">
      <c r="E184" s="232"/>
      <c r="F184" s="224"/>
      <c r="G184" s="134">
        <v>2001426</v>
      </c>
      <c r="H184" s="236">
        <f>IF(G184&lt;=G177,G184*H177%,IF(G184&lt;=G178,I177+(G184-G177)*H178%,IF(G184&lt;=G179,I178+(G184-G178)*H179%,IF(G184&lt;=G180,I179+(G184-G179)*H180%,IF(G184&lt;=G181,I180+(G184-G180)*H181%,IF(G184&lt;=G182,I181+(G184-G181)*H182%,I182+(G184-G182)*H183%))))))</f>
        <v>8545.704</v>
      </c>
      <c r="I184" s="224"/>
      <c r="J184" s="128">
        <f>+H184/G184</f>
        <v>0.00426980762716183</v>
      </c>
      <c r="M184" s="52"/>
      <c r="N184" s="235"/>
    </row>
    <row r="185" customHeight="1" spans="5:14">
      <c r="E185" s="232"/>
      <c r="F185" s="237"/>
      <c r="G185" s="170"/>
      <c r="M185" s="52"/>
      <c r="N185" s="235"/>
    </row>
    <row r="186" customHeight="1" spans="5:14">
      <c r="E186" s="232"/>
      <c r="F186" s="237"/>
      <c r="G186" s="170"/>
      <c r="M186" s="52"/>
      <c r="N186" s="235"/>
    </row>
    <row r="187" customHeight="1" spans="5:14">
      <c r="E187" s="232"/>
      <c r="F187" s="237"/>
      <c r="G187" s="170"/>
      <c r="M187" s="52"/>
      <c r="N187" s="235"/>
    </row>
    <row r="188" customHeight="1" spans="5:14">
      <c r="E188" s="232"/>
      <c r="F188" s="237"/>
      <c r="G188" s="170"/>
      <c r="H188" s="238"/>
      <c r="I188" s="225"/>
      <c r="J188" s="225"/>
      <c r="K188" s="239"/>
      <c r="L188" s="225"/>
      <c r="M188" s="52"/>
      <c r="N188" s="235"/>
    </row>
    <row r="189" customHeight="1" spans="5:14">
      <c r="E189" s="240" t="s">
        <v>249</v>
      </c>
      <c r="F189" s="241"/>
      <c r="G189" s="241"/>
      <c r="H189" s="241"/>
      <c r="I189" s="139"/>
      <c r="J189" s="137"/>
      <c r="K189" s="139"/>
      <c r="L189" s="138"/>
      <c r="M189" s="138"/>
      <c r="N189" s="242"/>
    </row>
    <row r="191" customHeight="1" spans="5:14">
      <c r="E191" s="209" t="s">
        <v>250</v>
      </c>
      <c r="F191" s="210"/>
      <c r="G191" s="210"/>
      <c r="H191" s="210"/>
      <c r="I191" s="210"/>
      <c r="J191" s="211"/>
      <c r="K191" s="212"/>
      <c r="L191" s="210"/>
      <c r="M191" s="213"/>
      <c r="N191" s="214"/>
    </row>
    <row r="192" customHeight="1" spans="5:14">
      <c r="E192" s="215"/>
      <c r="F192" s="52"/>
      <c r="G192" s="52"/>
      <c r="L192" s="52"/>
      <c r="M192" s="178"/>
      <c r="N192" s="216"/>
    </row>
    <row r="193" customHeight="1" spans="5:14">
      <c r="E193" s="215"/>
      <c r="F193" s="217"/>
      <c r="G193" s="217"/>
      <c r="H193" s="217"/>
      <c r="I193" s="217"/>
      <c r="J193" s="218"/>
      <c r="K193" s="219"/>
      <c r="L193" s="217"/>
      <c r="M193" s="217"/>
      <c r="N193" s="220"/>
    </row>
    <row r="194" customHeight="1" spans="5:14">
      <c r="E194" s="215"/>
      <c r="F194" s="221" t="s">
        <v>243</v>
      </c>
      <c r="G194" s="222"/>
      <c r="H194" s="223" t="s">
        <v>244</v>
      </c>
      <c r="I194" s="224" t="s">
        <v>248</v>
      </c>
      <c r="J194" s="225"/>
      <c r="K194" s="219"/>
      <c r="L194" s="217"/>
      <c r="M194" s="217"/>
      <c r="N194" s="220"/>
    </row>
    <row r="195" customHeight="1" spans="5:14">
      <c r="E195" s="226"/>
      <c r="F195" s="224"/>
      <c r="G195" s="227">
        <v>100</v>
      </c>
      <c r="H195" s="224">
        <v>1.5</v>
      </c>
      <c r="I195" s="224">
        <f>G195*H195/100</f>
        <v>1.5</v>
      </c>
      <c r="J195" s="128">
        <f t="shared" ref="J195:J200" si="22">+I195/G195</f>
        <v>0.015</v>
      </c>
      <c r="K195" s="229"/>
      <c r="L195" s="229"/>
      <c r="M195" s="230"/>
      <c r="N195" s="231"/>
    </row>
    <row r="196" customHeight="1" spans="5:14">
      <c r="E196" s="232"/>
      <c r="F196" s="224">
        <f t="shared" ref="F196:F201" si="23">+G195</f>
        <v>100</v>
      </c>
      <c r="G196" s="224">
        <v>500</v>
      </c>
      <c r="H196" s="224">
        <v>1.2</v>
      </c>
      <c r="I196" s="224">
        <f t="shared" ref="I196:I200" si="24">(G196-F196)*H196/100+I195</f>
        <v>6.3</v>
      </c>
      <c r="J196" s="128">
        <f t="shared" si="22"/>
        <v>0.0126</v>
      </c>
      <c r="K196" s="233"/>
      <c r="L196" s="234"/>
      <c r="M196" s="52"/>
      <c r="N196" s="235"/>
    </row>
    <row r="197" customHeight="1" spans="5:14">
      <c r="E197" s="232"/>
      <c r="F197" s="224">
        <f t="shared" si="23"/>
        <v>500</v>
      </c>
      <c r="G197" s="227">
        <v>1000</v>
      </c>
      <c r="H197" s="224">
        <v>1</v>
      </c>
      <c r="I197" s="224">
        <f t="shared" si="24"/>
        <v>11.3</v>
      </c>
      <c r="J197" s="128">
        <f t="shared" si="22"/>
        <v>0.0113</v>
      </c>
      <c r="M197" s="52"/>
      <c r="N197" s="235"/>
    </row>
    <row r="198" customHeight="1" spans="5:14">
      <c r="E198" s="232"/>
      <c r="F198" s="224">
        <f t="shared" si="23"/>
        <v>1000</v>
      </c>
      <c r="G198" s="227">
        <v>5000</v>
      </c>
      <c r="H198" s="224">
        <v>0.8</v>
      </c>
      <c r="I198" s="224">
        <f t="shared" si="24"/>
        <v>43.3</v>
      </c>
      <c r="J198" s="128">
        <f t="shared" si="22"/>
        <v>0.00866</v>
      </c>
      <c r="M198" s="52"/>
      <c r="N198" s="235"/>
    </row>
    <row r="199" customHeight="1" spans="5:14">
      <c r="E199" s="232"/>
      <c r="F199" s="224">
        <f t="shared" si="23"/>
        <v>5000</v>
      </c>
      <c r="G199" s="227">
        <v>10000</v>
      </c>
      <c r="H199" s="224">
        <v>0.5</v>
      </c>
      <c r="I199" s="224">
        <f t="shared" si="24"/>
        <v>68.3</v>
      </c>
      <c r="J199" s="128">
        <f t="shared" si="22"/>
        <v>0.00683</v>
      </c>
      <c r="M199" s="52"/>
      <c r="N199" s="235"/>
    </row>
    <row r="200" customHeight="1" spans="5:14">
      <c r="E200" s="232"/>
      <c r="F200" s="224">
        <f t="shared" si="23"/>
        <v>10000</v>
      </c>
      <c r="G200" s="227">
        <v>20000</v>
      </c>
      <c r="H200" s="224">
        <v>0.2</v>
      </c>
      <c r="I200" s="224">
        <f t="shared" si="24"/>
        <v>88.3</v>
      </c>
      <c r="J200" s="128">
        <f t="shared" si="22"/>
        <v>0.004415</v>
      </c>
      <c r="M200" s="52"/>
      <c r="N200" s="235"/>
    </row>
    <row r="201" customHeight="1" spans="5:14">
      <c r="E201" s="232"/>
      <c r="F201" s="224">
        <f t="shared" si="23"/>
        <v>20000</v>
      </c>
      <c r="G201" s="227"/>
      <c r="H201" s="224">
        <v>0.1</v>
      </c>
      <c r="I201" s="224"/>
      <c r="J201" s="225"/>
      <c r="M201" s="52"/>
      <c r="N201" s="235"/>
    </row>
    <row r="202" customHeight="1" spans="5:14">
      <c r="E202" s="232"/>
      <c r="F202" s="224"/>
      <c r="G202" s="243">
        <v>7363531</v>
      </c>
      <c r="H202" s="236">
        <f>IF(G202&lt;=G195,G202*H195%,IF(G202&lt;=G196,I195+(G202-G195)*H196%,IF(G202&lt;=G197,I196+(G202-G196)*H197%,IF(G202&lt;=G198,I197+(G202-G197)*H198%,IF(G202&lt;=G199,I198+(G202-G198)*H199%,IF(G202&lt;=G200,I199+(G202-G199)*H200%,I200+(G202-G200)*H201%))))))</f>
        <v>7431.831</v>
      </c>
      <c r="I202" s="224"/>
      <c r="J202" s="128">
        <f>+H202/G202</f>
        <v>0.00100927544136094</v>
      </c>
      <c r="M202" s="52"/>
      <c r="N202" s="235"/>
    </row>
    <row r="203" customHeight="1" spans="5:14">
      <c r="E203" s="232"/>
      <c r="F203" s="237"/>
      <c r="G203" s="170"/>
      <c r="M203" s="52"/>
      <c r="N203" s="235"/>
    </row>
    <row r="204" customHeight="1" spans="5:14">
      <c r="E204" s="232"/>
      <c r="F204" s="237"/>
      <c r="G204" s="170"/>
      <c r="M204" s="52"/>
      <c r="N204" s="235"/>
    </row>
    <row r="205" customHeight="1" spans="5:14">
      <c r="E205" s="232"/>
      <c r="F205" s="237"/>
      <c r="G205" s="170"/>
      <c r="M205" s="52"/>
      <c r="N205" s="235"/>
    </row>
    <row r="206" customHeight="1" spans="5:14">
      <c r="E206" s="232"/>
      <c r="F206" s="237"/>
      <c r="G206" s="170"/>
      <c r="H206" s="238"/>
      <c r="I206" s="225"/>
      <c r="J206" s="225"/>
      <c r="K206" s="239"/>
      <c r="L206" s="225"/>
      <c r="M206" s="52"/>
      <c r="N206" s="235"/>
    </row>
    <row r="207" customHeight="1" spans="5:14">
      <c r="E207" s="240" t="s">
        <v>251</v>
      </c>
      <c r="F207" s="241"/>
      <c r="G207" s="241"/>
      <c r="H207" s="241"/>
      <c r="I207" s="139"/>
      <c r="J207" s="137"/>
      <c r="K207" s="139"/>
      <c r="L207" s="138"/>
      <c r="M207" s="138"/>
      <c r="N207" s="242"/>
    </row>
    <row r="209" customHeight="1" spans="5:14">
      <c r="E209" s="244" t="s">
        <v>252</v>
      </c>
      <c r="F209" s="245"/>
      <c r="G209" s="245"/>
      <c r="H209" s="245"/>
      <c r="I209" s="245"/>
      <c r="J209" s="246"/>
      <c r="K209" s="245"/>
      <c r="L209" s="247"/>
      <c r="M209" s="248"/>
      <c r="N209" s="249"/>
    </row>
    <row r="210" customHeight="1" spans="5:14">
      <c r="E210" s="250"/>
      <c r="F210" s="251"/>
      <c r="G210" s="252" t="s">
        <v>253</v>
      </c>
      <c r="H210" s="253">
        <v>16171.94</v>
      </c>
      <c r="I210" s="254"/>
      <c r="J210" s="255"/>
      <c r="K210" s="251"/>
      <c r="L210" s="256"/>
      <c r="M210" s="121"/>
      <c r="N210" s="257"/>
    </row>
    <row r="211" customHeight="1" spans="5:14">
      <c r="E211" s="258"/>
      <c r="F211" s="122"/>
      <c r="G211" s="50" t="s">
        <v>254</v>
      </c>
      <c r="H211" s="259">
        <v>0.75</v>
      </c>
      <c r="I211" s="120"/>
      <c r="J211" s="121"/>
      <c r="K211" s="122"/>
      <c r="L211" s="260"/>
      <c r="M211" s="120"/>
      <c r="N211" s="257"/>
    </row>
    <row r="212" customHeight="1" spans="5:14">
      <c r="E212" s="258"/>
      <c r="F212" s="122"/>
      <c r="G212" s="50" t="s">
        <v>255</v>
      </c>
      <c r="H212" s="121">
        <f>H210*H211</f>
        <v>12128.955</v>
      </c>
      <c r="I212" s="120"/>
      <c r="J212" s="121"/>
      <c r="K212" s="122"/>
      <c r="L212" s="260"/>
      <c r="M212" s="120"/>
      <c r="N212" s="257"/>
    </row>
    <row r="213" customHeight="1" spans="5:14">
      <c r="E213" s="258"/>
      <c r="F213" s="122"/>
      <c r="G213" s="50" t="s">
        <v>256</v>
      </c>
      <c r="H213" s="259">
        <v>0.049</v>
      </c>
      <c r="I213" s="120"/>
      <c r="J213" s="121"/>
      <c r="K213" s="122"/>
      <c r="L213" s="260"/>
      <c r="N213" s="257"/>
    </row>
    <row r="214" customHeight="1" spans="5:14">
      <c r="E214" s="258"/>
      <c r="F214" s="122"/>
      <c r="G214" s="50" t="s">
        <v>257</v>
      </c>
      <c r="H214" s="120"/>
      <c r="I214" s="120"/>
      <c r="J214" s="121"/>
      <c r="K214" s="122"/>
      <c r="L214" s="260"/>
      <c r="N214" s="216"/>
    </row>
    <row r="215" customHeight="1" spans="5:14">
      <c r="E215" s="258"/>
      <c r="F215" s="122"/>
      <c r="G215" s="50" t="s">
        <v>254</v>
      </c>
      <c r="H215" s="261">
        <v>0.4</v>
      </c>
      <c r="I215" s="261">
        <v>0.3</v>
      </c>
      <c r="J215" s="262">
        <v>0.3</v>
      </c>
      <c r="K215" s="263">
        <v>0</v>
      </c>
      <c r="L215" s="260">
        <v>0</v>
      </c>
      <c r="M215" s="264"/>
      <c r="N215" s="265"/>
    </row>
    <row r="216" customHeight="1" spans="5:14">
      <c r="E216" s="258"/>
      <c r="F216" s="122"/>
      <c r="G216" s="50" t="s">
        <v>258</v>
      </c>
      <c r="H216" s="120">
        <f t="shared" ref="H216:L216" si="25">$H212*H215</f>
        <v>4851.582</v>
      </c>
      <c r="I216" s="120">
        <f t="shared" si="25"/>
        <v>3638.6865</v>
      </c>
      <c r="J216" s="121">
        <f t="shared" si="25"/>
        <v>3638.6865</v>
      </c>
      <c r="K216" s="122">
        <f t="shared" si="25"/>
        <v>0</v>
      </c>
      <c r="L216" s="260">
        <f t="shared" si="25"/>
        <v>0</v>
      </c>
      <c r="M216" s="264"/>
      <c r="N216" s="265"/>
    </row>
    <row r="217" customHeight="1" spans="5:14">
      <c r="E217" s="266" t="s">
        <v>259</v>
      </c>
      <c r="F217" s="267"/>
      <c r="G217" s="267"/>
      <c r="H217" s="200" t="s">
        <v>260</v>
      </c>
      <c r="I217" s="200" t="s">
        <v>261</v>
      </c>
      <c r="J217" s="201" t="s">
        <v>262</v>
      </c>
      <c r="K217" s="200" t="s">
        <v>263</v>
      </c>
      <c r="L217" s="268" t="s">
        <v>264</v>
      </c>
      <c r="M217" s="264"/>
      <c r="N217" s="265"/>
    </row>
    <row r="218" customHeight="1" spans="5:14">
      <c r="E218" s="269"/>
      <c r="F218" s="200" t="s">
        <v>265</v>
      </c>
      <c r="G218" s="270" t="s">
        <v>140</v>
      </c>
      <c r="H218" s="271"/>
      <c r="I218" s="271">
        <f>IF(I216=0,0,H221)</f>
        <v>4970.445759</v>
      </c>
      <c r="J218" s="199">
        <f t="shared" ref="J218:L218" si="26">I221</f>
        <v>8941.831920441</v>
      </c>
      <c r="K218" s="267">
        <f t="shared" si="26"/>
        <v>13107.8160037926</v>
      </c>
      <c r="L218" s="272">
        <f t="shared" si="26"/>
        <v>0</v>
      </c>
      <c r="M218" s="264"/>
      <c r="N218" s="265"/>
    </row>
    <row r="219" customHeight="1" spans="5:14">
      <c r="E219" s="269"/>
      <c r="F219" s="267"/>
      <c r="G219" s="270" t="s">
        <v>141</v>
      </c>
      <c r="H219" s="271">
        <f t="shared" ref="H219:L219" si="27">IF(H216=0,0,H216)</f>
        <v>4851.582</v>
      </c>
      <c r="I219" s="271">
        <f t="shared" si="27"/>
        <v>3638.6865</v>
      </c>
      <c r="J219" s="199">
        <f t="shared" si="27"/>
        <v>3638.6865</v>
      </c>
      <c r="K219" s="267">
        <f t="shared" si="27"/>
        <v>0</v>
      </c>
      <c r="L219" s="272">
        <f t="shared" si="27"/>
        <v>0</v>
      </c>
      <c r="M219" s="264"/>
      <c r="N219" s="265"/>
    </row>
    <row r="220" customHeight="1" spans="5:14">
      <c r="E220" s="269"/>
      <c r="F220" s="267"/>
      <c r="G220" s="270" t="s">
        <v>142</v>
      </c>
      <c r="H220" s="271">
        <f t="shared" ref="H220:L220" si="28">IF(H216=0,0,H218*$H213+H219*$H213/2)</f>
        <v>118.863759</v>
      </c>
      <c r="I220" s="271">
        <f t="shared" si="28"/>
        <v>332.699661441</v>
      </c>
      <c r="J220" s="199">
        <f t="shared" si="28"/>
        <v>527.297583351609</v>
      </c>
      <c r="K220" s="267">
        <f t="shared" si="28"/>
        <v>0</v>
      </c>
      <c r="L220" s="273">
        <f t="shared" si="28"/>
        <v>0</v>
      </c>
      <c r="M220" s="274">
        <f>SUM(H220:L220)</f>
        <v>978.861003792609</v>
      </c>
      <c r="N220" s="265"/>
    </row>
    <row r="221" customHeight="1" spans="5:14">
      <c r="E221" s="269"/>
      <c r="F221" s="267"/>
      <c r="G221" s="270" t="s">
        <v>143</v>
      </c>
      <c r="H221" s="271">
        <f t="shared" ref="H221:L221" si="29">IF(H216=0,0,SUM(H218:H220))</f>
        <v>4970.445759</v>
      </c>
      <c r="I221" s="271">
        <f t="shared" si="29"/>
        <v>8941.831920441</v>
      </c>
      <c r="J221" s="199">
        <f t="shared" si="29"/>
        <v>13107.8160037926</v>
      </c>
      <c r="K221" s="267">
        <f t="shared" si="29"/>
        <v>0</v>
      </c>
      <c r="L221" s="272">
        <f t="shared" si="29"/>
        <v>0</v>
      </c>
      <c r="M221" s="264"/>
      <c r="N221" s="265"/>
    </row>
    <row r="222" customHeight="1" spans="5:14">
      <c r="E222" s="269"/>
      <c r="F222" s="267"/>
      <c r="G222" s="271"/>
      <c r="H222" s="271"/>
      <c r="I222" s="271"/>
      <c r="J222" s="199"/>
      <c r="K222" s="275">
        <f>SUM(H222:I222)</f>
        <v>0</v>
      </c>
      <c r="L222" s="276">
        <f>SUM(I222:J222)</f>
        <v>0</v>
      </c>
      <c r="M222" s="120"/>
      <c r="N222" s="257"/>
    </row>
    <row r="223" customHeight="1" spans="5:14">
      <c r="E223" s="277"/>
      <c r="F223" s="200" t="s">
        <v>266</v>
      </c>
      <c r="G223" s="271"/>
      <c r="H223" s="271">
        <f>+H219/2*(2+1)*H213</f>
        <v>356.591277</v>
      </c>
      <c r="I223" s="271">
        <f>I219/2*(1+0)*H213</f>
        <v>89.14781925</v>
      </c>
      <c r="J223" s="199">
        <f>J219/2*(1+0)*H213</f>
        <v>89.14781925</v>
      </c>
      <c r="K223" s="275">
        <f>SUM(H223:J223)</f>
        <v>534.8869155</v>
      </c>
      <c r="L223" s="276">
        <f>SUM(I223:J223)</f>
        <v>178.2956385</v>
      </c>
      <c r="M223" s="120"/>
      <c r="N223" s="257"/>
    </row>
    <row r="224" customHeight="1" spans="5:14">
      <c r="E224" s="278"/>
      <c r="F224" s="279"/>
      <c r="G224" s="279"/>
      <c r="H224" s="279"/>
      <c r="I224" s="280"/>
      <c r="J224" s="281"/>
      <c r="K224" s="279"/>
      <c r="L224" s="282"/>
      <c r="M224" s="279"/>
      <c r="N224" s="283"/>
    </row>
    <row r="226" customHeight="1" spans="5:13">
      <c r="E226" s="284" t="s">
        <v>267</v>
      </c>
      <c r="F226" s="285"/>
      <c r="G226" s="285"/>
      <c r="H226" s="286"/>
      <c r="I226" s="287"/>
      <c r="J226" s="288"/>
      <c r="K226" s="287"/>
      <c r="L226" s="287"/>
      <c r="M226" s="289"/>
    </row>
    <row r="227" customHeight="1" spans="5:13">
      <c r="E227" s="147"/>
      <c r="F227" s="148"/>
      <c r="G227" s="148"/>
      <c r="H227" s="148"/>
      <c r="I227" s="149"/>
      <c r="J227" s="150"/>
      <c r="K227" s="149"/>
      <c r="L227" s="149"/>
      <c r="M227" s="151"/>
    </row>
    <row r="228" customHeight="1" spans="5:13">
      <c r="E228" s="147"/>
      <c r="F228" s="148"/>
      <c r="G228" s="148"/>
      <c r="H228" s="148"/>
      <c r="I228" s="149"/>
      <c r="J228" s="150"/>
      <c r="K228" s="149"/>
      <c r="L228" s="149"/>
      <c r="M228" s="151"/>
    </row>
    <row r="229" customHeight="1" spans="5:13">
      <c r="E229" s="152" t="s">
        <v>202</v>
      </c>
      <c r="F229" s="153"/>
      <c r="G229" s="153"/>
      <c r="H229" s="153"/>
      <c r="I229" s="153"/>
      <c r="J229" s="154"/>
      <c r="K229" s="153"/>
      <c r="L229" s="153"/>
      <c r="M229" s="151"/>
    </row>
    <row r="230" customHeight="1" spans="5:13">
      <c r="E230" s="152" t="s">
        <v>203</v>
      </c>
      <c r="F230" s="153" t="s">
        <v>204</v>
      </c>
      <c r="G230" s="153" t="s">
        <v>205</v>
      </c>
      <c r="H230" s="155"/>
      <c r="I230" s="155"/>
      <c r="J230" s="156"/>
      <c r="K230" s="153" t="s">
        <v>267</v>
      </c>
      <c r="L230" s="153" t="s">
        <v>205</v>
      </c>
      <c r="M230" s="151"/>
    </row>
    <row r="231" customHeight="1" spans="5:13">
      <c r="E231" s="134">
        <v>1000000</v>
      </c>
      <c r="F231" s="158">
        <f>IF(I237&lt;&gt;0,I237,IF(I238&lt;&gt;0,I238,IF(I239&lt;&gt;0,I239,IF(E231&gt;F240,I242,IF(E231&gt;F239,I241,IF(E231&gt;=F238,I240,FALSE))))))</f>
        <v>10390</v>
      </c>
      <c r="G231" s="159">
        <f>+F231/E231</f>
        <v>0.01039</v>
      </c>
      <c r="H231" s="159">
        <v>1</v>
      </c>
      <c r="I231" s="159">
        <v>1</v>
      </c>
      <c r="J231" s="160">
        <v>1</v>
      </c>
      <c r="K231" s="161">
        <f>+F231*H231*I231*J231</f>
        <v>10390</v>
      </c>
      <c r="L231" s="159">
        <f>+K231/E231</f>
        <v>0.01039</v>
      </c>
      <c r="M231" s="151"/>
    </row>
    <row r="232" customHeight="1" spans="5:13">
      <c r="E232" s="162"/>
      <c r="F232" s="163"/>
      <c r="G232" s="163"/>
      <c r="H232" s="63"/>
      <c r="I232" s="63"/>
      <c r="J232" s="164"/>
      <c r="K232" s="163"/>
      <c r="L232" s="63"/>
      <c r="M232" s="151"/>
    </row>
    <row r="233" customHeight="1" spans="5:13">
      <c r="E233" s="165"/>
      <c r="F233" s="163"/>
      <c r="G233" s="163"/>
      <c r="H233" s="63"/>
      <c r="I233" s="63"/>
      <c r="J233" s="164"/>
      <c r="K233" s="163"/>
      <c r="L233" s="63"/>
      <c r="M233" s="151"/>
    </row>
    <row r="234" customHeight="1" spans="5:13">
      <c r="E234" s="162"/>
      <c r="F234" s="163"/>
      <c r="G234" s="163"/>
      <c r="H234" s="63"/>
      <c r="I234" s="63"/>
      <c r="J234" s="164"/>
      <c r="K234" s="163"/>
      <c r="L234" s="63"/>
      <c r="M234" s="151"/>
    </row>
    <row r="235" customHeight="1" spans="5:13">
      <c r="E235" s="165"/>
      <c r="F235" s="163"/>
      <c r="G235" s="163"/>
      <c r="H235" s="63"/>
      <c r="I235" s="63"/>
      <c r="J235" s="164"/>
      <c r="K235" s="163"/>
      <c r="L235" s="63"/>
      <c r="M235" s="151"/>
    </row>
    <row r="236" customHeight="1" spans="5:13">
      <c r="E236" s="165"/>
      <c r="F236" s="163"/>
      <c r="G236" s="163"/>
      <c r="H236" s="63"/>
      <c r="I236" s="63"/>
      <c r="J236" s="164"/>
      <c r="K236" s="163"/>
      <c r="L236" s="63"/>
      <c r="M236" s="151"/>
    </row>
    <row r="237" customHeight="1" spans="5:13">
      <c r="E237" s="166" t="s">
        <v>25</v>
      </c>
      <c r="F237" s="167" t="s">
        <v>203</v>
      </c>
      <c r="G237" s="167" t="s">
        <v>204</v>
      </c>
      <c r="H237" s="167" t="s">
        <v>205</v>
      </c>
      <c r="I237" s="131">
        <f>IF(E231&gt;F255,E231*1.039%,0)</f>
        <v>10390</v>
      </c>
      <c r="J237" s="168"/>
      <c r="K237" s="169"/>
      <c r="L237" s="170"/>
      <c r="M237" s="151"/>
    </row>
    <row r="238" customHeight="1" spans="5:13">
      <c r="E238" s="171">
        <v>1</v>
      </c>
      <c r="F238" s="172">
        <v>5000</v>
      </c>
      <c r="G238" s="173">
        <v>30</v>
      </c>
      <c r="H238" s="173">
        <f t="shared" ref="H238:H257" si="30">+G238/F238</f>
        <v>0.006</v>
      </c>
      <c r="I238" s="131">
        <f>IF(E231&gt;F254,I258,IF(E231&gt;F253,I255,IF(E231&gt;F252,I254,IF(E231&gt;F251,I253,IF(E231&gt;F250,I252,IF(E231&gt;F249,I251,IF(E231&gt;F248,I250,IF(E231&gt;F247,I249,0))))))))</f>
        <v>0</v>
      </c>
      <c r="J238" s="168"/>
      <c r="K238" s="169"/>
      <c r="L238" s="170"/>
      <c r="M238" s="151"/>
    </row>
    <row r="239" customHeight="1" spans="5:13">
      <c r="E239" s="171">
        <v>2</v>
      </c>
      <c r="F239" s="172">
        <v>10000</v>
      </c>
      <c r="G239" s="173">
        <v>52</v>
      </c>
      <c r="H239" s="173">
        <f t="shared" si="30"/>
        <v>0.0052</v>
      </c>
      <c r="I239" s="131">
        <f>IF(I238&lt;&gt;0,I238,IF(E231&gt;F246,I248,IF(E231&gt;F245,I247,IF(E231&gt;F244,I246,IF(E231&gt;F243,I245,IF(E231&gt;F242,I244,IF(E231&gt;F241,I243,IF(E231&gt;F240,I242,0))))))))</f>
        <v>2340</v>
      </c>
      <c r="J239" s="168"/>
      <c r="K239" s="169"/>
      <c r="L239" s="170"/>
      <c r="M239" s="151"/>
    </row>
    <row r="240" customHeight="1" spans="5:13">
      <c r="E240" s="171">
        <v>3</v>
      </c>
      <c r="F240" s="172">
        <v>20000</v>
      </c>
      <c r="G240" s="173">
        <v>72</v>
      </c>
      <c r="H240" s="173">
        <f t="shared" si="30"/>
        <v>0.0036</v>
      </c>
      <c r="I240" s="51">
        <f t="shared" ref="I240:I257" si="31">(G239-G238)/(F239-F238)*($E$231-F238)+G238</f>
        <v>4408</v>
      </c>
      <c r="J240" s="168"/>
      <c r="K240" s="169"/>
      <c r="L240" s="170"/>
      <c r="M240" s="151"/>
    </row>
    <row r="241" customHeight="1" spans="5:13">
      <c r="E241" s="171">
        <v>4</v>
      </c>
      <c r="F241" s="172">
        <v>30000</v>
      </c>
      <c r="G241" s="173">
        <v>82</v>
      </c>
      <c r="H241" s="173">
        <f t="shared" si="30"/>
        <v>0.00273333333333333</v>
      </c>
      <c r="I241" s="51">
        <f t="shared" si="31"/>
        <v>2032</v>
      </c>
      <c r="J241" s="168"/>
      <c r="K241" s="169"/>
      <c r="L241" s="170"/>
      <c r="M241" s="151"/>
    </row>
    <row r="242" customHeight="1" spans="5:13">
      <c r="E242" s="171">
        <v>5</v>
      </c>
      <c r="F242" s="172">
        <v>40000</v>
      </c>
      <c r="G242" s="173">
        <v>95</v>
      </c>
      <c r="H242" s="173">
        <f t="shared" si="30"/>
        <v>0.002375</v>
      </c>
      <c r="I242" s="51">
        <f t="shared" si="31"/>
        <v>1052</v>
      </c>
      <c r="J242" s="168"/>
      <c r="K242" s="169"/>
      <c r="L242" s="170"/>
      <c r="M242" s="151"/>
    </row>
    <row r="243" customHeight="1" spans="5:13">
      <c r="E243" s="171">
        <v>6</v>
      </c>
      <c r="F243" s="172">
        <v>50000</v>
      </c>
      <c r="G243" s="173">
        <v>104</v>
      </c>
      <c r="H243" s="173">
        <f t="shared" si="30"/>
        <v>0.00208</v>
      </c>
      <c r="I243" s="51">
        <f t="shared" si="31"/>
        <v>1343</v>
      </c>
      <c r="J243" s="168"/>
      <c r="K243" s="169"/>
      <c r="L243" s="170"/>
      <c r="M243" s="151"/>
    </row>
    <row r="244" customHeight="1" spans="5:13">
      <c r="E244" s="171">
        <v>7</v>
      </c>
      <c r="F244" s="172">
        <v>60000</v>
      </c>
      <c r="G244" s="173">
        <v>116</v>
      </c>
      <c r="H244" s="173">
        <f t="shared" si="30"/>
        <v>0.00193333333333333</v>
      </c>
      <c r="I244" s="51">
        <f t="shared" si="31"/>
        <v>959</v>
      </c>
      <c r="J244" s="168"/>
      <c r="K244" s="169"/>
      <c r="L244" s="170"/>
      <c r="M244" s="151"/>
    </row>
    <row r="245" customHeight="1" spans="5:13">
      <c r="E245" s="171">
        <v>8</v>
      </c>
      <c r="F245" s="172">
        <v>70000</v>
      </c>
      <c r="G245" s="173">
        <v>119</v>
      </c>
      <c r="H245" s="173">
        <f t="shared" si="30"/>
        <v>0.0017</v>
      </c>
      <c r="I245" s="51">
        <f t="shared" si="31"/>
        <v>1244</v>
      </c>
      <c r="J245" s="168"/>
      <c r="K245" s="169"/>
      <c r="L245" s="170"/>
      <c r="M245" s="151"/>
    </row>
    <row r="246" customHeight="1" spans="5:13">
      <c r="E246" s="171">
        <v>9</v>
      </c>
      <c r="F246" s="172">
        <v>80000</v>
      </c>
      <c r="G246" s="173">
        <v>132</v>
      </c>
      <c r="H246" s="173">
        <f t="shared" si="30"/>
        <v>0.00165</v>
      </c>
      <c r="I246" s="51">
        <f t="shared" si="31"/>
        <v>398</v>
      </c>
      <c r="J246" s="168"/>
      <c r="K246" s="169"/>
      <c r="L246" s="170"/>
      <c r="M246" s="151"/>
    </row>
    <row r="247" customHeight="1" spans="5:13">
      <c r="E247" s="171">
        <v>10</v>
      </c>
      <c r="F247" s="172">
        <v>90000</v>
      </c>
      <c r="G247" s="173">
        <v>156</v>
      </c>
      <c r="H247" s="173">
        <f t="shared" si="30"/>
        <v>0.00173333333333333</v>
      </c>
      <c r="I247" s="51">
        <f t="shared" si="31"/>
        <v>1328</v>
      </c>
      <c r="J247" s="168"/>
      <c r="K247" s="169"/>
      <c r="L247" s="170"/>
      <c r="M247" s="151"/>
    </row>
    <row r="248" customHeight="1" spans="5:13">
      <c r="E248" s="171">
        <v>11</v>
      </c>
      <c r="F248" s="172">
        <v>100000</v>
      </c>
      <c r="G248" s="173">
        <v>171</v>
      </c>
      <c r="H248" s="173">
        <f t="shared" si="30"/>
        <v>0.00171</v>
      </c>
      <c r="I248" s="51">
        <f t="shared" si="31"/>
        <v>2340</v>
      </c>
      <c r="J248" s="168"/>
      <c r="K248" s="169"/>
      <c r="L248" s="170"/>
      <c r="M248" s="151"/>
    </row>
    <row r="249" customHeight="1" spans="5:13">
      <c r="E249" s="171">
        <v>12</v>
      </c>
      <c r="F249" s="172">
        <v>110000</v>
      </c>
      <c r="G249" s="173">
        <v>200</v>
      </c>
      <c r="H249" s="173">
        <f t="shared" si="30"/>
        <v>0.00181818181818182</v>
      </c>
      <c r="I249" s="51">
        <f t="shared" si="31"/>
        <v>1521</v>
      </c>
      <c r="J249" s="168"/>
      <c r="K249" s="169"/>
      <c r="L249" s="170"/>
      <c r="M249" s="151"/>
    </row>
    <row r="250" customHeight="1" spans="5:13">
      <c r="E250" s="171">
        <v>13</v>
      </c>
      <c r="F250" s="172">
        <v>120000</v>
      </c>
      <c r="G250" s="173">
        <v>220</v>
      </c>
      <c r="H250" s="173">
        <f t="shared" si="30"/>
        <v>0.00183333333333333</v>
      </c>
      <c r="I250" s="51">
        <f t="shared" si="31"/>
        <v>2781</v>
      </c>
      <c r="J250" s="168"/>
      <c r="K250" s="169"/>
      <c r="L250" s="170"/>
      <c r="M250" s="151"/>
    </row>
    <row r="251" customHeight="1" spans="5:13">
      <c r="E251" s="171">
        <v>14</v>
      </c>
      <c r="F251" s="172">
        <v>130000</v>
      </c>
      <c r="G251" s="173">
        <v>230</v>
      </c>
      <c r="H251" s="173">
        <f t="shared" si="30"/>
        <v>0.00176923076923077</v>
      </c>
      <c r="I251" s="51">
        <f t="shared" si="31"/>
        <v>1980</v>
      </c>
      <c r="J251" s="168"/>
      <c r="K251" s="169"/>
      <c r="L251" s="170"/>
      <c r="M251" s="151"/>
    </row>
    <row r="252" customHeight="1" spans="5:13">
      <c r="E252" s="171">
        <v>15</v>
      </c>
      <c r="F252" s="172">
        <v>140000</v>
      </c>
      <c r="G252" s="173">
        <v>245</v>
      </c>
      <c r="H252" s="173">
        <f t="shared" si="30"/>
        <v>0.00175</v>
      </c>
      <c r="I252" s="51">
        <f t="shared" si="31"/>
        <v>1100</v>
      </c>
      <c r="J252" s="168"/>
      <c r="K252" s="169"/>
      <c r="L252" s="170"/>
      <c r="M252" s="151"/>
    </row>
    <row r="253" customHeight="1" spans="5:13">
      <c r="E253" s="171">
        <v>16</v>
      </c>
      <c r="F253" s="172">
        <v>150000</v>
      </c>
      <c r="G253" s="173">
        <v>259</v>
      </c>
      <c r="H253" s="173">
        <f t="shared" si="30"/>
        <v>0.00172666666666667</v>
      </c>
      <c r="I253" s="51">
        <f t="shared" si="31"/>
        <v>1535</v>
      </c>
      <c r="J253" s="168"/>
      <c r="K253" s="169"/>
      <c r="L253" s="170"/>
      <c r="M253" s="151"/>
    </row>
    <row r="254" customHeight="1" spans="5:13">
      <c r="E254" s="171">
        <v>17</v>
      </c>
      <c r="F254" s="172">
        <v>160000</v>
      </c>
      <c r="G254" s="173">
        <v>270</v>
      </c>
      <c r="H254" s="173">
        <f t="shared" si="30"/>
        <v>0.0016875</v>
      </c>
      <c r="I254" s="51">
        <f t="shared" si="31"/>
        <v>1449</v>
      </c>
      <c r="J254" s="168"/>
      <c r="K254" s="169"/>
      <c r="L254" s="170"/>
      <c r="M254" s="151"/>
    </row>
    <row r="255" customHeight="1" spans="5:13">
      <c r="E255" s="174">
        <v>18</v>
      </c>
      <c r="F255" s="175">
        <v>170000</v>
      </c>
      <c r="G255" s="176">
        <v>290</v>
      </c>
      <c r="H255" s="176">
        <f t="shared" si="30"/>
        <v>0.00170588235294118</v>
      </c>
      <c r="I255" s="51">
        <f t="shared" si="31"/>
        <v>1194</v>
      </c>
      <c r="J255" s="168"/>
      <c r="K255" s="169"/>
      <c r="L255" s="170"/>
      <c r="M255" s="151"/>
    </row>
    <row r="256" customHeight="1" spans="5:13">
      <c r="E256" s="290">
        <v>19</v>
      </c>
      <c r="F256" s="51">
        <v>180000</v>
      </c>
      <c r="G256" s="50">
        <v>320</v>
      </c>
      <c r="H256" s="50">
        <f t="shared" si="30"/>
        <v>0.00177777777777778</v>
      </c>
      <c r="I256" s="51">
        <f t="shared" si="31"/>
        <v>1950</v>
      </c>
      <c r="J256" s="168"/>
      <c r="K256" s="169"/>
      <c r="L256" s="170"/>
      <c r="M256" s="151"/>
    </row>
    <row r="257" customHeight="1" spans="5:31">
      <c r="E257" s="290">
        <v>20</v>
      </c>
      <c r="F257" s="51">
        <v>190000</v>
      </c>
      <c r="G257" s="50">
        <v>350</v>
      </c>
      <c r="H257" s="50">
        <f t="shared" si="30"/>
        <v>0.00184210526315789</v>
      </c>
      <c r="I257" s="51">
        <f t="shared" si="31"/>
        <v>2780</v>
      </c>
      <c r="J257" s="168"/>
      <c r="K257" s="169"/>
      <c r="L257" s="170"/>
      <c r="M257" s="151"/>
    </row>
    <row r="258" customHeight="1" spans="5:31">
      <c r="E258" s="177"/>
      <c r="G258" s="52"/>
      <c r="H258" s="52"/>
      <c r="I258" s="178"/>
      <c r="M258" s="151"/>
    </row>
    <row r="259" customHeight="1" spans="5:31">
      <c r="E259" s="179" t="s">
        <v>268</v>
      </c>
      <c r="F259" s="180"/>
      <c r="G259" s="180"/>
      <c r="H259" s="181"/>
      <c r="I259" s="181"/>
      <c r="J259" s="182"/>
      <c r="K259" s="180"/>
      <c r="L259" s="181"/>
      <c r="M259" s="140"/>
    </row>
    <row r="261" customHeight="1" spans="5:31">
      <c r="E261" s="291"/>
      <c r="F261" s="292" t="s">
        <v>269</v>
      </c>
      <c r="G261" s="292"/>
      <c r="H261" s="292"/>
      <c r="I261" s="292"/>
      <c r="J261" s="293"/>
      <c r="K261" s="292"/>
      <c r="L261" s="292"/>
      <c r="M261" s="292"/>
      <c r="N261" s="294"/>
      <c r="O261" s="292"/>
      <c r="P261" s="295"/>
      <c r="Q261" s="295"/>
      <c r="R261" s="295"/>
      <c r="S261" s="296"/>
      <c r="T261" s="296"/>
      <c r="U261" s="296"/>
      <c r="V261" s="296"/>
      <c r="W261" s="296"/>
      <c r="X261" s="296"/>
      <c r="Y261" s="296"/>
      <c r="Z261" s="296"/>
      <c r="AA261" s="296"/>
      <c r="AB261" s="296"/>
      <c r="AC261" s="297"/>
      <c r="AD261" s="298"/>
      <c r="AE261" s="298"/>
    </row>
    <row r="262" customHeight="1" spans="5:31">
      <c r="E262" s="299"/>
      <c r="F262" s="300" t="s">
        <v>25</v>
      </c>
      <c r="G262" s="300" t="s">
        <v>137</v>
      </c>
      <c r="H262" s="300" t="s">
        <v>203</v>
      </c>
      <c r="I262" s="301" t="s">
        <v>270</v>
      </c>
      <c r="J262" s="302" t="s">
        <v>206</v>
      </c>
      <c r="K262" s="301" t="s">
        <v>207</v>
      </c>
      <c r="L262" s="301" t="s">
        <v>208</v>
      </c>
      <c r="M262" s="300" t="s">
        <v>106</v>
      </c>
      <c r="N262" s="301" t="s">
        <v>271</v>
      </c>
      <c r="O262" s="300" t="s">
        <v>272</v>
      </c>
      <c r="P262" s="303"/>
      <c r="Q262" s="303"/>
      <c r="R262" s="303"/>
      <c r="S262" s="303"/>
      <c r="T262" s="303"/>
      <c r="U262" s="303"/>
      <c r="V262" s="303"/>
      <c r="W262" s="303"/>
      <c r="X262" s="303"/>
      <c r="Y262" s="303"/>
      <c r="Z262" s="303"/>
      <c r="AA262" s="303"/>
      <c r="AB262" s="303"/>
      <c r="AC262" s="304"/>
      <c r="AD262" s="305"/>
      <c r="AE262" s="305"/>
    </row>
    <row r="263" customHeight="1" spans="5:31">
      <c r="E263" s="299"/>
      <c r="F263" s="300" t="s">
        <v>273</v>
      </c>
      <c r="G263" s="300" t="s">
        <v>274</v>
      </c>
      <c r="H263" s="300" t="s">
        <v>275</v>
      </c>
      <c r="I263" s="300" t="s">
        <v>276</v>
      </c>
      <c r="J263" s="306" t="s">
        <v>277</v>
      </c>
      <c r="K263" s="300" t="s">
        <v>278</v>
      </c>
      <c r="L263" s="300" t="s">
        <v>279</v>
      </c>
      <c r="M263" s="300" t="s">
        <v>280</v>
      </c>
      <c r="N263" s="301" t="s">
        <v>281</v>
      </c>
      <c r="O263" s="300" t="s">
        <v>282</v>
      </c>
      <c r="P263" s="303"/>
      <c r="Q263" s="303"/>
      <c r="R263" s="303"/>
      <c r="S263" s="303"/>
      <c r="T263" s="303"/>
      <c r="U263" s="303"/>
      <c r="V263" s="303"/>
      <c r="W263" s="303"/>
      <c r="X263" s="303"/>
      <c r="Y263" s="303"/>
      <c r="Z263" s="303"/>
      <c r="AA263" s="303"/>
      <c r="AB263" s="303"/>
      <c r="AC263" s="304"/>
      <c r="AD263" s="305"/>
      <c r="AE263" s="305"/>
    </row>
    <row r="264" customHeight="1" spans="5:31">
      <c r="E264" s="307"/>
      <c r="F264" s="300" t="s">
        <v>38</v>
      </c>
      <c r="G264" s="300" t="s">
        <v>71</v>
      </c>
      <c r="H264" s="308">
        <v>5968.0158</v>
      </c>
      <c r="I264" s="308">
        <f>+H275</f>
        <v>191.552984686667</v>
      </c>
      <c r="J264" s="306">
        <v>0.9</v>
      </c>
      <c r="K264" s="300">
        <v>1</v>
      </c>
      <c r="L264" s="308">
        <v>1</v>
      </c>
      <c r="M264" s="308">
        <f t="shared" ref="M264:M268" si="32">+L264*K264*J264*I264</f>
        <v>172.397686218</v>
      </c>
      <c r="N264" s="309">
        <f t="shared" ref="N264:N269" si="33">+M264*0.45</f>
        <v>77.5789587981</v>
      </c>
      <c r="O264" s="308">
        <f t="shared" ref="O264:O269" si="34">+M264*0.55</f>
        <v>94.8187274199</v>
      </c>
      <c r="P264" s="310"/>
      <c r="Q264" s="310"/>
      <c r="R264" s="310"/>
      <c r="S264" s="310"/>
      <c r="T264" s="310"/>
      <c r="U264" s="310"/>
      <c r="V264" s="310"/>
      <c r="W264" s="310"/>
      <c r="X264" s="310"/>
      <c r="Y264" s="310"/>
      <c r="Z264" s="310"/>
      <c r="AA264" s="310"/>
      <c r="AB264" s="310"/>
      <c r="AC264" s="311"/>
      <c r="AD264" s="298"/>
      <c r="AE264" s="298"/>
    </row>
    <row r="265" customHeight="1" spans="5:31">
      <c r="E265" s="307"/>
      <c r="F265" s="300" t="s">
        <v>102</v>
      </c>
      <c r="G265" s="300" t="s">
        <v>283</v>
      </c>
      <c r="H265" s="308">
        <v>41830.1352</v>
      </c>
      <c r="I265" s="308">
        <f>+M275</f>
        <v>1096.202917712</v>
      </c>
      <c r="J265" s="306">
        <v>1.1</v>
      </c>
      <c r="K265" s="300">
        <v>1.15</v>
      </c>
      <c r="L265" s="308">
        <v>1</v>
      </c>
      <c r="M265" s="308">
        <f t="shared" si="32"/>
        <v>1386.69669090568</v>
      </c>
      <c r="N265" s="309">
        <f t="shared" si="33"/>
        <v>624.013510907556</v>
      </c>
      <c r="O265" s="308">
        <f t="shared" si="34"/>
        <v>762.683179998124</v>
      </c>
      <c r="P265" s="310"/>
      <c r="Q265" s="310"/>
      <c r="R265" s="310"/>
      <c r="S265" s="310"/>
      <c r="T265" s="310"/>
      <c r="U265" s="310"/>
      <c r="V265" s="310"/>
      <c r="W265" s="310"/>
      <c r="X265" s="310"/>
      <c r="Y265" s="310"/>
      <c r="Z265" s="310"/>
      <c r="AA265" s="310"/>
      <c r="AB265" s="310"/>
      <c r="AC265" s="311"/>
      <c r="AD265" s="298"/>
      <c r="AE265" s="298"/>
    </row>
    <row r="266" customHeight="1" spans="5:31">
      <c r="E266" s="307"/>
      <c r="F266" s="300" t="s">
        <v>129</v>
      </c>
      <c r="G266" s="300" t="s">
        <v>284</v>
      </c>
      <c r="H266" s="308">
        <v>2086.5139</v>
      </c>
      <c r="I266" s="308">
        <f>+H299</f>
        <v>74.11170175</v>
      </c>
      <c r="J266" s="306">
        <v>1</v>
      </c>
      <c r="K266" s="300">
        <v>1</v>
      </c>
      <c r="L266" s="308">
        <v>1</v>
      </c>
      <c r="M266" s="308">
        <f t="shared" si="32"/>
        <v>74.11170175</v>
      </c>
      <c r="N266" s="309">
        <f t="shared" si="33"/>
        <v>33.3502657875</v>
      </c>
      <c r="O266" s="308">
        <f t="shared" si="34"/>
        <v>40.7614359625</v>
      </c>
      <c r="P266" s="310"/>
      <c r="Q266" s="310"/>
      <c r="R266" s="310"/>
      <c r="S266" s="310"/>
      <c r="T266" s="310"/>
      <c r="U266" s="310"/>
      <c r="V266" s="310"/>
      <c r="W266" s="310"/>
      <c r="X266" s="310"/>
      <c r="Y266" s="310"/>
      <c r="Z266" s="310"/>
      <c r="AA266" s="310"/>
      <c r="AB266" s="310"/>
      <c r="AC266" s="311"/>
      <c r="AD266" s="298"/>
      <c r="AE266" s="298"/>
    </row>
    <row r="267" customHeight="1" spans="5:31">
      <c r="E267" s="307"/>
      <c r="F267" s="300" t="s">
        <v>133</v>
      </c>
      <c r="G267" s="300" t="s">
        <v>285</v>
      </c>
      <c r="H267" s="308">
        <v>4161.64</v>
      </c>
      <c r="I267" s="308">
        <f>+M299</f>
        <v>138.707282</v>
      </c>
      <c r="J267" s="306">
        <v>1</v>
      </c>
      <c r="K267" s="300">
        <v>1</v>
      </c>
      <c r="L267" s="308">
        <v>1</v>
      </c>
      <c r="M267" s="308">
        <f t="shared" si="32"/>
        <v>138.707282</v>
      </c>
      <c r="N267" s="309">
        <f t="shared" si="33"/>
        <v>62.4182769</v>
      </c>
      <c r="O267" s="308">
        <f t="shared" si="34"/>
        <v>76.2890051</v>
      </c>
      <c r="P267" s="310"/>
      <c r="Q267" s="310"/>
      <c r="R267" s="310"/>
      <c r="S267" s="310"/>
      <c r="T267" s="310"/>
      <c r="U267" s="310"/>
      <c r="V267" s="310"/>
      <c r="W267" s="310"/>
      <c r="X267" s="310"/>
      <c r="Y267" s="310"/>
      <c r="Z267" s="310"/>
      <c r="AA267" s="310"/>
      <c r="AB267" s="310"/>
      <c r="AC267" s="311"/>
      <c r="AD267" s="298"/>
      <c r="AE267" s="298"/>
    </row>
    <row r="268" customHeight="1" spans="5:31">
      <c r="E268" s="307"/>
      <c r="F268" s="300" t="s">
        <v>286</v>
      </c>
      <c r="G268" s="300" t="s">
        <v>287</v>
      </c>
      <c r="H268" s="308">
        <v>0</v>
      </c>
      <c r="I268" s="308">
        <f>+S275</f>
        <v>0</v>
      </c>
      <c r="J268" s="306">
        <v>1</v>
      </c>
      <c r="K268" s="300">
        <v>1</v>
      </c>
      <c r="L268" s="308">
        <v>1</v>
      </c>
      <c r="M268" s="308">
        <f t="shared" si="32"/>
        <v>0</v>
      </c>
      <c r="N268" s="309">
        <f t="shared" si="33"/>
        <v>0</v>
      </c>
      <c r="O268" s="308">
        <f t="shared" si="34"/>
        <v>0</v>
      </c>
      <c r="P268" s="310"/>
      <c r="Q268" s="310"/>
      <c r="R268" s="310"/>
      <c r="S268" s="310"/>
      <c r="T268" s="310"/>
      <c r="U268" s="310"/>
      <c r="V268" s="310"/>
      <c r="W268" s="310"/>
      <c r="X268" s="310"/>
      <c r="Y268" s="310"/>
      <c r="Z268" s="310"/>
      <c r="AA268" s="310"/>
      <c r="AB268" s="310"/>
      <c r="AC268" s="311"/>
      <c r="AD268" s="298"/>
      <c r="AE268" s="298"/>
    </row>
    <row r="269" customHeight="1" spans="5:31">
      <c r="E269" s="307"/>
      <c r="F269" s="300" t="s">
        <v>288</v>
      </c>
      <c r="G269" s="300" t="s">
        <v>138</v>
      </c>
      <c r="H269" s="308">
        <v>54046.31</v>
      </c>
      <c r="I269" s="308">
        <f>SUM(I264:I268)</f>
        <v>1500.57488614867</v>
      </c>
      <c r="J269" s="306"/>
      <c r="K269" s="300"/>
      <c r="L269" s="308"/>
      <c r="M269" s="312">
        <f>SUM(M264:M268)</f>
        <v>1771.91336087368</v>
      </c>
      <c r="N269" s="309">
        <f t="shared" si="33"/>
        <v>797.361012393156</v>
      </c>
      <c r="O269" s="308">
        <f t="shared" si="34"/>
        <v>974.552348480524</v>
      </c>
      <c r="P269" s="310"/>
      <c r="Q269" s="310"/>
      <c r="R269" s="310"/>
      <c r="S269" s="310"/>
      <c r="T269" s="310"/>
      <c r="U269" s="310"/>
      <c r="V269" s="310"/>
      <c r="W269" s="310"/>
      <c r="X269" s="310"/>
      <c r="Y269" s="310"/>
      <c r="Z269" s="310"/>
      <c r="AA269" s="310"/>
      <c r="AB269" s="310"/>
      <c r="AC269" s="311"/>
      <c r="AD269" s="310"/>
      <c r="AE269" s="310"/>
    </row>
    <row r="270" customHeight="1" spans="5:31">
      <c r="E270" s="307"/>
      <c r="F270" s="310"/>
      <c r="G270" s="313"/>
      <c r="H270" s="314"/>
      <c r="I270" s="314"/>
      <c r="J270" s="314"/>
      <c r="K270" s="303"/>
      <c r="L270" s="310"/>
      <c r="M270" s="310"/>
      <c r="N270" s="315"/>
      <c r="O270" s="310"/>
      <c r="P270" s="316"/>
      <c r="Q270" s="310"/>
      <c r="R270" s="310"/>
      <c r="S270" s="310"/>
      <c r="T270" s="310"/>
      <c r="U270" s="310"/>
      <c r="V270" s="310"/>
      <c r="W270" s="310"/>
      <c r="X270" s="310"/>
      <c r="Y270" s="310"/>
      <c r="Z270" s="310"/>
      <c r="AA270" s="310"/>
      <c r="AB270" s="310"/>
      <c r="AC270" s="311"/>
      <c r="AD270" s="310"/>
      <c r="AE270" s="310"/>
    </row>
    <row r="271" customHeight="1" spans="5:31">
      <c r="E271" s="307"/>
      <c r="F271" s="310"/>
      <c r="G271" s="313"/>
      <c r="H271" s="314"/>
      <c r="I271" s="314"/>
      <c r="J271" s="314"/>
      <c r="K271" s="303"/>
      <c r="L271" s="310"/>
      <c r="M271" s="317">
        <f>+M269/H269</f>
        <v>0.032785094132674</v>
      </c>
      <c r="N271" s="315"/>
      <c r="O271" s="310"/>
      <c r="P271" s="316"/>
      <c r="Q271" s="310"/>
      <c r="R271" s="310"/>
      <c r="S271" s="310"/>
      <c r="T271" s="310"/>
      <c r="U271" s="310"/>
      <c r="V271" s="310"/>
      <c r="W271" s="310"/>
      <c r="X271" s="310"/>
      <c r="Y271" s="310"/>
      <c r="Z271" s="310"/>
      <c r="AA271" s="310"/>
      <c r="AB271" s="310"/>
      <c r="AC271" s="311"/>
      <c r="AD271" s="310"/>
      <c r="AE271" s="310"/>
    </row>
    <row r="272" customHeight="1" spans="5:31">
      <c r="E272" s="307"/>
      <c r="F272" s="310"/>
      <c r="G272" s="313"/>
      <c r="H272" s="314"/>
      <c r="I272" s="314"/>
      <c r="J272" s="314"/>
      <c r="K272" s="303"/>
      <c r="L272" s="310"/>
      <c r="M272" s="310"/>
      <c r="N272" s="315"/>
      <c r="O272" s="310"/>
      <c r="P272" s="316"/>
      <c r="Q272" s="310"/>
      <c r="R272" s="310"/>
      <c r="S272" s="310"/>
      <c r="T272" s="310"/>
      <c r="U272" s="310"/>
      <c r="V272" s="310"/>
      <c r="W272" s="310"/>
      <c r="X272" s="310"/>
      <c r="Y272" s="310"/>
      <c r="Z272" s="310"/>
      <c r="AA272" s="310"/>
      <c r="AB272" s="310"/>
      <c r="AC272" s="311"/>
      <c r="AD272" s="310"/>
      <c r="AE272" s="310"/>
    </row>
    <row r="273" customHeight="1" spans="5:31">
      <c r="E273" s="318"/>
      <c r="F273" s="319"/>
      <c r="G273" s="320"/>
      <c r="H273" s="320"/>
      <c r="I273" s="320"/>
      <c r="J273" s="321"/>
      <c r="K273" s="320"/>
      <c r="L273" s="319"/>
      <c r="M273" s="319"/>
      <c r="N273" s="322"/>
      <c r="O273" s="320"/>
      <c r="P273" s="129"/>
      <c r="Q273" s="321"/>
      <c r="R273" s="321"/>
      <c r="S273" s="320"/>
      <c r="T273" s="319"/>
      <c r="U273" s="319"/>
      <c r="V273" s="319"/>
      <c r="W273" s="319"/>
      <c r="X273" s="319"/>
      <c r="Y273" s="319"/>
      <c r="Z273" s="319"/>
      <c r="AA273" s="319"/>
      <c r="AB273" s="319"/>
      <c r="AC273" s="323"/>
      <c r="AD273" s="324"/>
      <c r="AE273" s="324"/>
    </row>
    <row r="274" customHeight="1" spans="5:31">
      <c r="E274" s="325"/>
      <c r="F274" s="320"/>
      <c r="G274" s="326" t="s">
        <v>203</v>
      </c>
      <c r="H274" s="326" t="s">
        <v>204</v>
      </c>
      <c r="I274" s="326" t="s">
        <v>205</v>
      </c>
      <c r="J274" s="327"/>
      <c r="K274" s="326"/>
      <c r="L274" s="326" t="s">
        <v>203</v>
      </c>
      <c r="M274" s="326" t="s">
        <v>204</v>
      </c>
      <c r="N274" s="328" t="s">
        <v>205</v>
      </c>
      <c r="O274" s="326"/>
      <c r="P274" s="326"/>
      <c r="Q274" s="319"/>
      <c r="R274" s="319"/>
      <c r="S274" s="319"/>
      <c r="T274" s="319"/>
      <c r="U274" s="319"/>
      <c r="V274" s="319"/>
      <c r="W274" s="319"/>
      <c r="X274" s="319"/>
      <c r="Y274" s="319"/>
      <c r="Z274" s="319"/>
      <c r="AA274" s="319"/>
      <c r="AB274" s="319"/>
      <c r="AC274" s="323"/>
      <c r="AD274" s="324"/>
      <c r="AE274" s="324"/>
    </row>
    <row r="275" customHeight="1" spans="5:31">
      <c r="E275" s="325"/>
      <c r="F275" s="320"/>
      <c r="G275" s="329">
        <f>+H264</f>
        <v>5968.0158</v>
      </c>
      <c r="H275" s="330">
        <f>IF(K277&lt;&gt;0,K277,IF(K278&lt;&gt;0,K278,IF(K279&lt;&gt;0,K279,IF(G275&gt;H280,K282,IF(G275&gt;H279,K281,IF(G275&gt;=H278,K280,G275*4.5/100))))))</f>
        <v>191.552984686667</v>
      </c>
      <c r="I275" s="329">
        <f>+H275/G275</f>
        <v>0.0320965947654942</v>
      </c>
      <c r="J275" s="327"/>
      <c r="K275" s="326"/>
      <c r="L275" s="329">
        <f>+H265</f>
        <v>41830.1352</v>
      </c>
      <c r="M275" s="330">
        <f>IF(P277&lt;&gt;0,P277,IF(P278&lt;&gt;0,P278,IF(P279&lt;&gt;0,P279,IF(L275&gt;M280,P282,IF(L275&gt;M279,P281,IF(L275&gt;=M278,P280,L275*4.5/100))))))</f>
        <v>1096.202917712</v>
      </c>
      <c r="N275" s="331">
        <f>+M275/L275</f>
        <v>0.0262060572472642</v>
      </c>
      <c r="O275" s="332"/>
      <c r="P275" s="332"/>
      <c r="Q275" s="319"/>
      <c r="R275" s="329">
        <f>+H268</f>
        <v>0</v>
      </c>
      <c r="S275" s="330">
        <f>IF(V277&lt;&gt;0,V277,IF(V278&lt;&gt;0,V278,IF(V279&lt;&gt;0,V279,IF(R275&gt;S280,V282,IF(R275&gt;S279,V281,IF(R275&gt;=S278,V280,R275*4.5/100))))))</f>
        <v>0</v>
      </c>
      <c r="T275" s="329" t="e">
        <f>+S275/R275</f>
        <v>#DIV/0!</v>
      </c>
      <c r="U275" s="332"/>
      <c r="V275" s="332"/>
      <c r="W275" s="329" t="e">
        <f>+#REF!</f>
        <v>#REF!</v>
      </c>
      <c r="X275" s="330" t="e">
        <f>IF(AA277&lt;&gt;0,AA277,IF(AA278&lt;&gt;0,AA278,IF(AA279&lt;&gt;0,AA279,IF(W275&gt;X280,AA282,IF(W275&gt;X279,AA281,IF(W275&gt;=X278,AA280,W275*4.5/100))))))</f>
        <v>#REF!</v>
      </c>
      <c r="Y275" s="329" t="e">
        <f>+X275/W275</f>
        <v>#REF!</v>
      </c>
      <c r="Z275" s="332"/>
      <c r="AA275" s="332"/>
      <c r="AB275" s="319"/>
      <c r="AC275" s="323"/>
      <c r="AD275" s="324"/>
      <c r="AE275" s="324"/>
    </row>
    <row r="276" customHeight="1" spans="5:31">
      <c r="E276" s="325"/>
      <c r="F276" s="320"/>
      <c r="G276" s="333" t="s">
        <v>289</v>
      </c>
      <c r="H276" s="326"/>
      <c r="I276" s="326"/>
      <c r="J276" s="327"/>
      <c r="K276" s="326"/>
      <c r="L276" s="333" t="s">
        <v>289</v>
      </c>
      <c r="M276" s="326"/>
      <c r="N276" s="328"/>
      <c r="O276" s="332"/>
      <c r="P276" s="332"/>
      <c r="Q276" s="319"/>
      <c r="R276" s="333" t="s">
        <v>289</v>
      </c>
      <c r="S276" s="326"/>
      <c r="T276" s="326"/>
      <c r="U276" s="332"/>
      <c r="V276" s="332"/>
      <c r="W276" s="333" t="s">
        <v>289</v>
      </c>
      <c r="X276" s="326"/>
      <c r="Y276" s="326"/>
      <c r="Z276" s="332"/>
      <c r="AA276" s="332"/>
      <c r="AB276" s="319"/>
      <c r="AC276" s="323"/>
      <c r="AD276" s="324"/>
      <c r="AE276" s="324"/>
    </row>
    <row r="277" customHeight="1" spans="5:31">
      <c r="E277" s="325"/>
      <c r="F277" s="320"/>
      <c r="G277" s="334" t="s">
        <v>25</v>
      </c>
      <c r="H277" s="334" t="s">
        <v>203</v>
      </c>
      <c r="I277" s="334" t="s">
        <v>204</v>
      </c>
      <c r="J277" s="335" t="s">
        <v>205</v>
      </c>
      <c r="K277" s="336">
        <f>IF(G275&gt;H295,G275*1.6%,0)</f>
        <v>0</v>
      </c>
      <c r="L277" s="334" t="s">
        <v>25</v>
      </c>
      <c r="M277" s="334" t="s">
        <v>203</v>
      </c>
      <c r="N277" s="337" t="s">
        <v>204</v>
      </c>
      <c r="O277" s="334" t="s">
        <v>205</v>
      </c>
      <c r="P277" s="338">
        <f>IF(L275&gt;M295,L275*1.6%,0)</f>
        <v>0</v>
      </c>
      <c r="Q277" s="319"/>
      <c r="R277" s="334" t="s">
        <v>25</v>
      </c>
      <c r="S277" s="334" t="s">
        <v>203</v>
      </c>
      <c r="T277" s="334" t="s">
        <v>204</v>
      </c>
      <c r="U277" s="334" t="s">
        <v>205</v>
      </c>
      <c r="V277" s="338">
        <f>IF(R275&gt;S295,R275*1.6%,0)</f>
        <v>0</v>
      </c>
      <c r="W277" s="334" t="s">
        <v>25</v>
      </c>
      <c r="X277" s="334" t="s">
        <v>203</v>
      </c>
      <c r="Y277" s="334" t="s">
        <v>204</v>
      </c>
      <c r="Z277" s="334" t="s">
        <v>205</v>
      </c>
      <c r="AA277" s="338" t="e">
        <f>IF(W275&gt;X295,W275*1.6%,0)</f>
        <v>#REF!</v>
      </c>
      <c r="AB277" s="319"/>
      <c r="AC277" s="323"/>
      <c r="AD277" s="324"/>
      <c r="AE277" s="324"/>
    </row>
    <row r="278" customHeight="1" spans="5:31">
      <c r="E278" s="325"/>
      <c r="F278" s="320"/>
      <c r="G278" s="339">
        <v>1</v>
      </c>
      <c r="H278" s="340">
        <v>200</v>
      </c>
      <c r="I278" s="341">
        <v>9</v>
      </c>
      <c r="J278" s="340">
        <f t="shared" ref="J278:J295" si="35">+I278/H278</f>
        <v>0.045</v>
      </c>
      <c r="K278" s="336">
        <f>IF(G275&gt;H294,K296,IF(G275&gt;H293,K295,IF(G275&gt;H292,K294,IF(G275&gt;H291,K293,IF(G275&gt;H290,K292,IF(G275&gt;H289,K291,IF(G275&gt;H288,K290,IF(G275&gt;H287,K289,0))))))))</f>
        <v>0</v>
      </c>
      <c r="L278" s="339">
        <v>1</v>
      </c>
      <c r="M278" s="340">
        <v>200</v>
      </c>
      <c r="N278" s="342">
        <v>9</v>
      </c>
      <c r="O278" s="341">
        <f t="shared" ref="O278:O295" si="36">+N278/M278</f>
        <v>0.045</v>
      </c>
      <c r="P278" s="338">
        <f>IF(L275&gt;M294,P296,IF(L275&gt;M293,P295,IF(L275&gt;M292,P294,IF(L275&gt;M291,P293,IF(L275&gt;M290,P292,IF(L275&gt;M289,P291,IF(L275&gt;M288,P290,IF(L275&gt;M287,P289,0))))))))</f>
        <v>0</v>
      </c>
      <c r="Q278" s="319"/>
      <c r="R278" s="339">
        <v>1</v>
      </c>
      <c r="S278" s="340">
        <v>200</v>
      </c>
      <c r="T278" s="341">
        <v>9</v>
      </c>
      <c r="U278" s="341">
        <f t="shared" ref="U278:U295" si="37">+T278/S278</f>
        <v>0.045</v>
      </c>
      <c r="V278" s="338">
        <f>IF(R275&gt;S294,V296,IF(R275&gt;S293,V295,IF(R275&gt;S292,V294,IF(R275&gt;S291,V293,IF(R275&gt;S290,V292,IF(R275&gt;S289,V291,IF(R275&gt;S288,V290,IF(R275&gt;S287,V289,0))))))))</f>
        <v>0</v>
      </c>
      <c r="W278" s="339">
        <v>1</v>
      </c>
      <c r="X278" s="340">
        <v>200</v>
      </c>
      <c r="Y278" s="341">
        <v>9</v>
      </c>
      <c r="Z278" s="341">
        <f t="shared" ref="Z278:Z295" si="38">+Y278/X278</f>
        <v>0.045</v>
      </c>
      <c r="AA278" s="338" t="e">
        <f>IF(W275&gt;X294,AA296,IF(W275&gt;X293,AA295,IF(W275&gt;X292,AA294,IF(W275&gt;X291,AA293,IF(W275&gt;X290,AA292,IF(W275&gt;X289,AA291,IF(W275&gt;X288,AA290,IF(W275&gt;X287,AA289,0))))))))</f>
        <v>#REF!</v>
      </c>
      <c r="AB278" s="319"/>
      <c r="AC278" s="323"/>
      <c r="AD278" s="324"/>
      <c r="AE278" s="324"/>
    </row>
    <row r="279" customHeight="1" spans="5:31">
      <c r="E279" s="325"/>
      <c r="F279" s="320"/>
      <c r="G279" s="339">
        <v>2</v>
      </c>
      <c r="H279" s="340">
        <v>500</v>
      </c>
      <c r="I279" s="341">
        <v>20.9</v>
      </c>
      <c r="J279" s="340">
        <f t="shared" si="35"/>
        <v>0.0418</v>
      </c>
      <c r="K279" s="320">
        <f>IF(K278&lt;&gt;0,K278,IF(G275&gt;H286,K288,IF(G275&gt;H285,K287,IF(G275&gt;H284,K286,IF(G275&gt;H283,K285,IF(G275&gt;H282,K284,IF(G275&gt;H281,K283,IF(G275&gt;H280,K282,0))))))))</f>
        <v>191.552984686667</v>
      </c>
      <c r="L279" s="339">
        <v>2</v>
      </c>
      <c r="M279" s="340">
        <v>500</v>
      </c>
      <c r="N279" s="342">
        <v>20.9</v>
      </c>
      <c r="O279" s="341">
        <f t="shared" si="36"/>
        <v>0.0418</v>
      </c>
      <c r="P279" s="321">
        <f>IF(P278&lt;&gt;0,P278,IF(L275&gt;M286,P288,IF(L275&gt;M285,P287,IF(L275&gt;M284,P286,IF(L275&gt;M283,P285,IF(L275&gt;M282,P284,IF(L275&gt;M281,P283,IF(L275&gt;M280,P282,0))))))))</f>
        <v>1096.202917712</v>
      </c>
      <c r="Q279" s="319"/>
      <c r="R279" s="339">
        <v>2</v>
      </c>
      <c r="S279" s="340">
        <v>500</v>
      </c>
      <c r="T279" s="341">
        <v>20.9</v>
      </c>
      <c r="U279" s="341">
        <f t="shared" si="37"/>
        <v>0.0418</v>
      </c>
      <c r="V279" s="321">
        <f>IF(V278&lt;&gt;0,V278,IF(R275&gt;S286,V288,IF(R275&gt;S285,V287,IF(R275&gt;S284,V286,IF(R275&gt;S283,V285,IF(R275&gt;S282,V284,IF(R275&gt;S281,V283,IF(R275&gt;S280,V282,0))))))))</f>
        <v>0</v>
      </c>
      <c r="W279" s="339">
        <v>2</v>
      </c>
      <c r="X279" s="340">
        <v>500</v>
      </c>
      <c r="Y279" s="341">
        <v>20.9</v>
      </c>
      <c r="Z279" s="341">
        <f t="shared" si="38"/>
        <v>0.0418</v>
      </c>
      <c r="AA279" s="321" t="e">
        <f>IF(AA278&lt;&gt;0,AA278,IF(W275&gt;X286,AA288,IF(W275&gt;X285,AA287,IF(W275&gt;X284,AA286,IF(W275&gt;X283,AA285,IF(W275&gt;X282,AA284,IF(W275&gt;X281,AA283,IF(W275&gt;X280,AA282,0))))))))</f>
        <v>#REF!</v>
      </c>
      <c r="AB279" s="319"/>
      <c r="AC279" s="323"/>
      <c r="AD279" s="324"/>
      <c r="AE279" s="324"/>
    </row>
    <row r="280" customHeight="1" spans="5:31">
      <c r="E280" s="325"/>
      <c r="F280" s="320"/>
      <c r="G280" s="339">
        <v>3</v>
      </c>
      <c r="H280" s="340">
        <v>1000</v>
      </c>
      <c r="I280" s="341">
        <v>38.8</v>
      </c>
      <c r="J280" s="340">
        <f t="shared" si="35"/>
        <v>0.0388</v>
      </c>
      <c r="K280" s="320">
        <f>(I279-I278)/(H279-H278)*(G275-H278)+I278</f>
        <v>237.797960066667</v>
      </c>
      <c r="L280" s="339">
        <v>3</v>
      </c>
      <c r="M280" s="340">
        <v>1000</v>
      </c>
      <c r="N280" s="342">
        <v>38.8</v>
      </c>
      <c r="O280" s="341">
        <f t="shared" si="36"/>
        <v>0.0388</v>
      </c>
      <c r="P280" s="321">
        <f>(N279-N278)/(M279-M278)*(L275-M278)+N278</f>
        <v>1660.32869626667</v>
      </c>
      <c r="Q280" s="319"/>
      <c r="R280" s="339">
        <v>3</v>
      </c>
      <c r="S280" s="340">
        <v>1000</v>
      </c>
      <c r="T280" s="341">
        <v>38.8</v>
      </c>
      <c r="U280" s="341">
        <f t="shared" si="37"/>
        <v>0.0388</v>
      </c>
      <c r="V280" s="321">
        <f>(T279-T278)/(S279-S278)*(R275-S278)+T278</f>
        <v>1.06666666666667</v>
      </c>
      <c r="W280" s="339">
        <v>3</v>
      </c>
      <c r="X280" s="340">
        <v>1000</v>
      </c>
      <c r="Y280" s="341">
        <v>38.8</v>
      </c>
      <c r="Z280" s="341">
        <f t="shared" si="38"/>
        <v>0.0388</v>
      </c>
      <c r="AA280" s="321" t="e">
        <f>(Y279-Y278)/(X279-X278)*(W275-X278)+Y278</f>
        <v>#REF!</v>
      </c>
      <c r="AB280" s="319"/>
      <c r="AC280" s="323"/>
      <c r="AD280" s="324"/>
      <c r="AE280" s="324"/>
    </row>
    <row r="281" customHeight="1" spans="5:31">
      <c r="E281" s="325"/>
      <c r="F281" s="320"/>
      <c r="G281" s="339">
        <v>4</v>
      </c>
      <c r="H281" s="340">
        <v>3000</v>
      </c>
      <c r="I281" s="341">
        <v>103.8</v>
      </c>
      <c r="J281" s="340">
        <f t="shared" si="35"/>
        <v>0.0346</v>
      </c>
      <c r="K281" s="320">
        <f>(I280-I279)/(H280-H279)*(G275-H279)+I279</f>
        <v>216.65496564</v>
      </c>
      <c r="L281" s="339">
        <v>4</v>
      </c>
      <c r="M281" s="340">
        <v>3000</v>
      </c>
      <c r="N281" s="342">
        <v>103.8</v>
      </c>
      <c r="O281" s="341">
        <f t="shared" si="36"/>
        <v>0.0346</v>
      </c>
      <c r="P281" s="321">
        <f>(N280-N279)/(M280-M279)*(L275-M279)+N279</f>
        <v>1500.51884016</v>
      </c>
      <c r="Q281" s="319"/>
      <c r="R281" s="339">
        <v>4</v>
      </c>
      <c r="S281" s="340">
        <v>3000</v>
      </c>
      <c r="T281" s="341">
        <v>103.8</v>
      </c>
      <c r="U281" s="341">
        <f t="shared" si="37"/>
        <v>0.0346</v>
      </c>
      <c r="V281" s="321">
        <f>(T280-T279)/(S280-S279)*(R275-S279)+T279</f>
        <v>3</v>
      </c>
      <c r="W281" s="339">
        <v>4</v>
      </c>
      <c r="X281" s="340">
        <v>3000</v>
      </c>
      <c r="Y281" s="341">
        <v>103.8</v>
      </c>
      <c r="Z281" s="341">
        <f t="shared" si="38"/>
        <v>0.0346</v>
      </c>
      <c r="AA281" s="321" t="e">
        <f>(Y280-Y279)/(X280-X279)*(W275-X279)+Y279</f>
        <v>#REF!</v>
      </c>
      <c r="AB281" s="319"/>
      <c r="AC281" s="323"/>
      <c r="AD281" s="324"/>
      <c r="AE281" s="324"/>
    </row>
    <row r="282" customHeight="1" spans="5:31">
      <c r="E282" s="325"/>
      <c r="F282" s="320"/>
      <c r="G282" s="339">
        <v>5</v>
      </c>
      <c r="H282" s="340">
        <v>5000</v>
      </c>
      <c r="I282" s="341">
        <v>163.9</v>
      </c>
      <c r="J282" s="340">
        <f t="shared" si="35"/>
        <v>0.03278</v>
      </c>
      <c r="K282" s="320">
        <f>(I281-I280)/(H281-H280)*(G275-H280)+I280</f>
        <v>200.2605135</v>
      </c>
      <c r="L282" s="339">
        <v>5</v>
      </c>
      <c r="M282" s="340">
        <v>5000</v>
      </c>
      <c r="N282" s="342">
        <v>163.9</v>
      </c>
      <c r="O282" s="341">
        <f t="shared" si="36"/>
        <v>0.03278</v>
      </c>
      <c r="P282" s="321">
        <f>(N281-N280)/(M281-M280)*(L275-M280)+N280</f>
        <v>1365.779394</v>
      </c>
      <c r="Q282" s="319"/>
      <c r="R282" s="339">
        <v>5</v>
      </c>
      <c r="S282" s="340">
        <v>5000</v>
      </c>
      <c r="T282" s="341">
        <v>163.9</v>
      </c>
      <c r="U282" s="341">
        <f t="shared" si="37"/>
        <v>0.03278</v>
      </c>
      <c r="V282" s="321">
        <f>(T281-T280)/(S281-S280)*(R275-S280)+T280</f>
        <v>6.3</v>
      </c>
      <c r="W282" s="339">
        <v>5</v>
      </c>
      <c r="X282" s="340">
        <v>5000</v>
      </c>
      <c r="Y282" s="341">
        <v>163.9</v>
      </c>
      <c r="Z282" s="341">
        <f t="shared" si="38"/>
        <v>0.03278</v>
      </c>
      <c r="AA282" s="321" t="e">
        <f>(Y281-Y280)/(X281-X280)*(W275-X280)+Y280</f>
        <v>#REF!</v>
      </c>
      <c r="AB282" s="319"/>
      <c r="AC282" s="323"/>
      <c r="AD282" s="324"/>
      <c r="AE282" s="324"/>
    </row>
    <row r="283" customHeight="1" spans="5:31">
      <c r="E283" s="325"/>
      <c r="F283" s="320"/>
      <c r="G283" s="339">
        <v>6</v>
      </c>
      <c r="H283" s="340">
        <v>8000</v>
      </c>
      <c r="I283" s="341">
        <v>249.6</v>
      </c>
      <c r="J283" s="340">
        <f t="shared" si="35"/>
        <v>0.0312</v>
      </c>
      <c r="K283" s="320">
        <f>(I282-I281)/(H282-H281)*(G275-H281)+I281</f>
        <v>192.98887479</v>
      </c>
      <c r="L283" s="339">
        <v>6</v>
      </c>
      <c r="M283" s="340">
        <v>8000</v>
      </c>
      <c r="N283" s="342">
        <v>249.6</v>
      </c>
      <c r="O283" s="341">
        <f t="shared" si="36"/>
        <v>0.0312</v>
      </c>
      <c r="P283" s="321">
        <f>(N282-N281)/(M282-M281)*(L275-M281)+N281</f>
        <v>1270.64556276</v>
      </c>
      <c r="Q283" s="319"/>
      <c r="R283" s="339">
        <v>6</v>
      </c>
      <c r="S283" s="340">
        <v>8000</v>
      </c>
      <c r="T283" s="341">
        <v>249.6</v>
      </c>
      <c r="U283" s="341">
        <f t="shared" si="37"/>
        <v>0.0312</v>
      </c>
      <c r="V283" s="321">
        <f>(T282-T281)/(S282-S281)*(R275-S281)+T281</f>
        <v>13.65</v>
      </c>
      <c r="W283" s="339">
        <v>6</v>
      </c>
      <c r="X283" s="340">
        <v>8000</v>
      </c>
      <c r="Y283" s="341">
        <v>249.6</v>
      </c>
      <c r="Z283" s="341">
        <f t="shared" si="38"/>
        <v>0.0312</v>
      </c>
      <c r="AA283" s="321" t="e">
        <f>(Y282-Y281)/(X282-X281)*(W275-X281)+Y281</f>
        <v>#REF!</v>
      </c>
      <c r="AB283" s="319"/>
      <c r="AC283" s="323"/>
      <c r="AD283" s="324"/>
      <c r="AE283" s="324"/>
    </row>
    <row r="284" customHeight="1" spans="5:31">
      <c r="E284" s="325"/>
      <c r="F284" s="320"/>
      <c r="G284" s="339">
        <v>7</v>
      </c>
      <c r="H284" s="340">
        <v>10000</v>
      </c>
      <c r="I284" s="341">
        <v>304.8</v>
      </c>
      <c r="J284" s="340">
        <f t="shared" si="35"/>
        <v>0.03048</v>
      </c>
      <c r="K284" s="320">
        <f>(I283-I282)/(H283-H282)*(G275-H282)+I282</f>
        <v>191.552984686667</v>
      </c>
      <c r="L284" s="339">
        <v>7</v>
      </c>
      <c r="M284" s="340">
        <v>10000</v>
      </c>
      <c r="N284" s="342">
        <v>304.8</v>
      </c>
      <c r="O284" s="341">
        <f t="shared" si="36"/>
        <v>0.03048</v>
      </c>
      <c r="P284" s="321">
        <f>(N283-N282)/(M283-M282)*(L275-M282)+N282</f>
        <v>1216.01419554667</v>
      </c>
      <c r="Q284" s="319"/>
      <c r="R284" s="339">
        <v>7</v>
      </c>
      <c r="S284" s="340">
        <v>10000</v>
      </c>
      <c r="T284" s="341">
        <v>304.8</v>
      </c>
      <c r="U284" s="341">
        <f t="shared" si="37"/>
        <v>0.03048</v>
      </c>
      <c r="V284" s="321">
        <f>(T283-T282)/(S283-S282)*(R275-S282)+T282</f>
        <v>21.0666666666667</v>
      </c>
      <c r="W284" s="339">
        <v>7</v>
      </c>
      <c r="X284" s="340">
        <v>10000</v>
      </c>
      <c r="Y284" s="341">
        <v>304.8</v>
      </c>
      <c r="Z284" s="341">
        <f t="shared" si="38"/>
        <v>0.03048</v>
      </c>
      <c r="AA284" s="321" t="e">
        <f>(Y283-Y282)/(X283-X282)*(W275-X282)+Y282</f>
        <v>#REF!</v>
      </c>
      <c r="AB284" s="319"/>
      <c r="AC284" s="323"/>
      <c r="AD284" s="324"/>
      <c r="AE284" s="324"/>
    </row>
    <row r="285" customHeight="1" spans="5:31">
      <c r="E285" s="325"/>
      <c r="F285" s="320"/>
      <c r="G285" s="339">
        <v>8</v>
      </c>
      <c r="H285" s="340">
        <v>20000</v>
      </c>
      <c r="I285" s="341">
        <v>566.8</v>
      </c>
      <c r="J285" s="340">
        <f t="shared" si="35"/>
        <v>0.02834</v>
      </c>
      <c r="K285" s="320">
        <f>(I284-I283)/(H284-H283)*(G275-H283)+I283</f>
        <v>193.51723608</v>
      </c>
      <c r="L285" s="339">
        <v>8</v>
      </c>
      <c r="M285" s="340">
        <v>20000</v>
      </c>
      <c r="N285" s="342">
        <v>566.8</v>
      </c>
      <c r="O285" s="341">
        <f t="shared" si="36"/>
        <v>0.02834</v>
      </c>
      <c r="P285" s="321">
        <f>(N284-N283)/(M284-M283)*(L275-M283)+N283</f>
        <v>1183.31173152</v>
      </c>
      <c r="Q285" s="319"/>
      <c r="R285" s="339">
        <v>8</v>
      </c>
      <c r="S285" s="340">
        <v>20000</v>
      </c>
      <c r="T285" s="341">
        <v>566.8</v>
      </c>
      <c r="U285" s="341">
        <f t="shared" si="37"/>
        <v>0.02834</v>
      </c>
      <c r="V285" s="321">
        <f>(T284-T283)/(S284-S283)*(R275-S283)+T283</f>
        <v>28.7999999999999</v>
      </c>
      <c r="W285" s="339">
        <v>8</v>
      </c>
      <c r="X285" s="340">
        <v>20000</v>
      </c>
      <c r="Y285" s="341">
        <v>566.8</v>
      </c>
      <c r="Z285" s="341">
        <f t="shared" si="38"/>
        <v>0.02834</v>
      </c>
      <c r="AA285" s="321" t="e">
        <f>(Y284-Y283)/(X284-X283)*(W275-X283)+Y283</f>
        <v>#REF!</v>
      </c>
      <c r="AB285" s="319"/>
      <c r="AC285" s="323"/>
      <c r="AD285" s="324"/>
      <c r="AE285" s="324"/>
    </row>
    <row r="286" customHeight="1" spans="5:31">
      <c r="E286" s="325"/>
      <c r="F286" s="320"/>
      <c r="G286" s="339">
        <v>9</v>
      </c>
      <c r="H286" s="340">
        <v>40000</v>
      </c>
      <c r="I286" s="341">
        <v>1054</v>
      </c>
      <c r="J286" s="340">
        <f t="shared" si="35"/>
        <v>0.02635</v>
      </c>
      <c r="K286" s="320">
        <f>(I285-I284)/(H285-H284)*(G275-H284)+I284</f>
        <v>199.16201396</v>
      </c>
      <c r="L286" s="339">
        <v>9</v>
      </c>
      <c r="M286" s="340">
        <v>40000</v>
      </c>
      <c r="N286" s="342">
        <v>1054</v>
      </c>
      <c r="O286" s="341">
        <f t="shared" si="36"/>
        <v>0.02635</v>
      </c>
      <c r="P286" s="321">
        <f>(N285-N284)/(M285-M284)*(L275-M284)+N284</f>
        <v>1138.74954224</v>
      </c>
      <c r="Q286" s="319"/>
      <c r="R286" s="339">
        <v>9</v>
      </c>
      <c r="S286" s="340">
        <v>40000</v>
      </c>
      <c r="T286" s="341">
        <v>1054</v>
      </c>
      <c r="U286" s="341">
        <f t="shared" si="37"/>
        <v>0.02635</v>
      </c>
      <c r="V286" s="321">
        <f>(T285-T284)/(S285-S284)*(R275-S284)+T284</f>
        <v>42.8000000000001</v>
      </c>
      <c r="W286" s="339">
        <v>9</v>
      </c>
      <c r="X286" s="340">
        <v>40000</v>
      </c>
      <c r="Y286" s="341">
        <v>1054</v>
      </c>
      <c r="Z286" s="341">
        <f t="shared" si="38"/>
        <v>0.02635</v>
      </c>
      <c r="AA286" s="321" t="e">
        <f>(Y285-Y284)/(X285-X284)*(W275-X284)+Y284</f>
        <v>#REF!</v>
      </c>
      <c r="AB286" s="319"/>
      <c r="AC286" s="323"/>
      <c r="AD286" s="324"/>
      <c r="AE286" s="324"/>
    </row>
    <row r="287" customHeight="1" spans="5:31">
      <c r="E287" s="325"/>
      <c r="F287" s="320"/>
      <c r="G287" s="339">
        <v>10</v>
      </c>
      <c r="H287" s="340">
        <v>60000</v>
      </c>
      <c r="I287" s="341">
        <v>1515.2</v>
      </c>
      <c r="J287" s="340">
        <f t="shared" si="35"/>
        <v>0.0252533333333333</v>
      </c>
      <c r="K287" s="320">
        <f>(I286-I285)/(H286-H285)*(G275-H285)+I285</f>
        <v>224.980864888</v>
      </c>
      <c r="L287" s="339">
        <v>10</v>
      </c>
      <c r="M287" s="340">
        <v>60000</v>
      </c>
      <c r="N287" s="342">
        <v>1515.2</v>
      </c>
      <c r="O287" s="341">
        <f t="shared" si="36"/>
        <v>0.0252533333333333</v>
      </c>
      <c r="P287" s="321">
        <f>(N286-N285)/(M286-M285)*(L275-M285)+N285</f>
        <v>1098.582093472</v>
      </c>
      <c r="Q287" s="319"/>
      <c r="R287" s="339">
        <v>10</v>
      </c>
      <c r="S287" s="340">
        <v>60000</v>
      </c>
      <c r="T287" s="341">
        <v>1515.2</v>
      </c>
      <c r="U287" s="341">
        <f t="shared" si="37"/>
        <v>0.0252533333333333</v>
      </c>
      <c r="V287" s="321">
        <f>(T286-T285)/(S286-S285)*(R275-S285)+T285</f>
        <v>79.5999999999999</v>
      </c>
      <c r="W287" s="339">
        <v>10</v>
      </c>
      <c r="X287" s="340">
        <v>60000</v>
      </c>
      <c r="Y287" s="341">
        <v>1515.2</v>
      </c>
      <c r="Z287" s="341">
        <f t="shared" si="38"/>
        <v>0.0252533333333333</v>
      </c>
      <c r="AA287" s="321" t="e">
        <f>(Y286-Y285)/(X286-X285)*(W275-X285)+Y285</f>
        <v>#REF!</v>
      </c>
      <c r="AB287" s="319"/>
      <c r="AC287" s="323"/>
      <c r="AD287" s="324"/>
      <c r="AE287" s="324"/>
    </row>
    <row r="288" customHeight="1" spans="5:31">
      <c r="E288" s="325"/>
      <c r="F288" s="320"/>
      <c r="G288" s="339">
        <v>11</v>
      </c>
      <c r="H288" s="340">
        <v>80000</v>
      </c>
      <c r="I288" s="341">
        <v>1960.1</v>
      </c>
      <c r="J288" s="340">
        <f t="shared" si="35"/>
        <v>0.02450125</v>
      </c>
      <c r="K288" s="320">
        <f>(I287-I286)/(H287-H286)*(G275-H286)+I286</f>
        <v>269.222444348</v>
      </c>
      <c r="L288" s="339">
        <v>11</v>
      </c>
      <c r="M288" s="340">
        <v>80000</v>
      </c>
      <c r="N288" s="342">
        <v>1960.1</v>
      </c>
      <c r="O288" s="341">
        <f t="shared" si="36"/>
        <v>0.02450125</v>
      </c>
      <c r="P288" s="321">
        <f>(N287-N286)/(M287-M286)*(L275-M286)+N286</f>
        <v>1096.202917712</v>
      </c>
      <c r="Q288" s="319"/>
      <c r="R288" s="339">
        <v>11</v>
      </c>
      <c r="S288" s="340">
        <v>80000</v>
      </c>
      <c r="T288" s="341">
        <v>1960.1</v>
      </c>
      <c r="U288" s="341">
        <f t="shared" si="37"/>
        <v>0.02450125</v>
      </c>
      <c r="V288" s="321">
        <f>(T287-T286)/(S287-S286)*(R275-S286)+T286</f>
        <v>131.6</v>
      </c>
      <c r="W288" s="339">
        <v>11</v>
      </c>
      <c r="X288" s="340">
        <v>80000</v>
      </c>
      <c r="Y288" s="341">
        <v>1960.1</v>
      </c>
      <c r="Z288" s="341">
        <f t="shared" si="38"/>
        <v>0.02450125</v>
      </c>
      <c r="AA288" s="321" t="e">
        <f>(Y287-Y286)/(X287-X286)*(W275-X286)+Y286</f>
        <v>#REF!</v>
      </c>
      <c r="AB288" s="319"/>
      <c r="AC288" s="323"/>
      <c r="AD288" s="324"/>
      <c r="AE288" s="324"/>
    </row>
    <row r="289" customHeight="1" spans="5:31">
      <c r="E289" s="325"/>
      <c r="F289" s="320"/>
      <c r="G289" s="339">
        <v>12</v>
      </c>
      <c r="H289" s="340">
        <v>100000</v>
      </c>
      <c r="I289" s="341">
        <v>2393.4</v>
      </c>
      <c r="J289" s="340">
        <f t="shared" si="35"/>
        <v>0.023934</v>
      </c>
      <c r="K289" s="320">
        <f>(I288-I287)/(H288-H287)*(G275-H287)+I287</f>
        <v>313.258511471</v>
      </c>
      <c r="L289" s="339">
        <v>12</v>
      </c>
      <c r="M289" s="340">
        <v>100000</v>
      </c>
      <c r="N289" s="342">
        <v>2393.4</v>
      </c>
      <c r="O289" s="341">
        <f t="shared" si="36"/>
        <v>0.023934</v>
      </c>
      <c r="P289" s="321">
        <f>(N288-N287)/(M288-M287)*(L275-M287)+N287</f>
        <v>1111.011357524</v>
      </c>
      <c r="Q289" s="319"/>
      <c r="R289" s="339">
        <v>12</v>
      </c>
      <c r="S289" s="340">
        <v>100000</v>
      </c>
      <c r="T289" s="341">
        <v>2393.4</v>
      </c>
      <c r="U289" s="341">
        <f t="shared" si="37"/>
        <v>0.023934</v>
      </c>
      <c r="V289" s="321">
        <f>(T288-T287)/(S288-S287)*(R275-S287)+T287</f>
        <v>180.5</v>
      </c>
      <c r="W289" s="339">
        <v>12</v>
      </c>
      <c r="X289" s="340">
        <v>100000</v>
      </c>
      <c r="Y289" s="341">
        <v>2393.4</v>
      </c>
      <c r="Z289" s="341">
        <f t="shared" si="38"/>
        <v>0.023934</v>
      </c>
      <c r="AA289" s="321" t="e">
        <f>(Y288-Y287)/(X288-X287)*(W275-X287)+Y287</f>
        <v>#REF!</v>
      </c>
      <c r="AB289" s="319"/>
      <c r="AC289" s="323"/>
      <c r="AD289" s="324"/>
      <c r="AE289" s="324"/>
    </row>
    <row r="290" customHeight="1" spans="5:31">
      <c r="E290" s="325"/>
      <c r="F290" s="320"/>
      <c r="G290" s="339">
        <v>13</v>
      </c>
      <c r="H290" s="340">
        <v>200000</v>
      </c>
      <c r="I290" s="341">
        <v>4450.8</v>
      </c>
      <c r="J290" s="340">
        <f t="shared" si="35"/>
        <v>0.022254</v>
      </c>
      <c r="K290" s="320">
        <f>(I289-I288)/(H289-H288)*(G275-H288)+I288</f>
        <v>356.197062306999</v>
      </c>
      <c r="L290" s="339">
        <v>13</v>
      </c>
      <c r="M290" s="340">
        <v>200000</v>
      </c>
      <c r="N290" s="342">
        <v>4450.8</v>
      </c>
      <c r="O290" s="341">
        <f t="shared" si="36"/>
        <v>0.022254</v>
      </c>
      <c r="P290" s="321">
        <f>(N289-N288)/(M289-M288)*(L275-M288)+N288</f>
        <v>1133.149879108</v>
      </c>
      <c r="Q290" s="319"/>
      <c r="R290" s="339">
        <v>13</v>
      </c>
      <c r="S290" s="340">
        <v>200000</v>
      </c>
      <c r="T290" s="341">
        <v>4450.8</v>
      </c>
      <c r="U290" s="341">
        <f t="shared" si="37"/>
        <v>0.022254</v>
      </c>
      <c r="V290" s="321">
        <f>(T289-T288)/(S289-S288)*(R275-S288)+T288</f>
        <v>226.899999999999</v>
      </c>
      <c r="W290" s="339">
        <v>13</v>
      </c>
      <c r="X290" s="340">
        <v>200000</v>
      </c>
      <c r="Y290" s="341">
        <v>4450.8</v>
      </c>
      <c r="Z290" s="341">
        <f t="shared" si="38"/>
        <v>0.022254</v>
      </c>
      <c r="AA290" s="321" t="e">
        <f>(Y289-Y288)/(X289-X288)*(W275-X288)+Y288</f>
        <v>#REF!</v>
      </c>
      <c r="AB290" s="319"/>
      <c r="AC290" s="323"/>
      <c r="AD290" s="324"/>
      <c r="AE290" s="324"/>
    </row>
    <row r="291" customHeight="1" spans="5:31">
      <c r="E291" s="325"/>
      <c r="F291" s="320"/>
      <c r="G291" s="339">
        <v>14</v>
      </c>
      <c r="H291" s="340">
        <v>400000</v>
      </c>
      <c r="I291" s="341">
        <v>8276.7</v>
      </c>
      <c r="J291" s="340">
        <f t="shared" si="35"/>
        <v>0.02069175</v>
      </c>
      <c r="K291" s="320">
        <f>(I290-I289)/(H290-H289)*(G275-H289)+I289</f>
        <v>458.7859570692</v>
      </c>
      <c r="L291" s="339">
        <v>14</v>
      </c>
      <c r="M291" s="340">
        <v>400000</v>
      </c>
      <c r="N291" s="342">
        <v>8276.7</v>
      </c>
      <c r="O291" s="341">
        <f t="shared" si="36"/>
        <v>0.02069175</v>
      </c>
      <c r="P291" s="321">
        <f>(N290-N289)/(M290-M289)*(L275-M289)+N289</f>
        <v>1196.6132016048</v>
      </c>
      <c r="Q291" s="319"/>
      <c r="R291" s="339">
        <v>14</v>
      </c>
      <c r="S291" s="340">
        <v>400000</v>
      </c>
      <c r="T291" s="341">
        <v>8276.7</v>
      </c>
      <c r="U291" s="341">
        <f t="shared" si="37"/>
        <v>0.02069175</v>
      </c>
      <c r="V291" s="321">
        <f>(T290-T289)/(S290-S289)*(R275-S289)+T289</f>
        <v>336</v>
      </c>
      <c r="W291" s="339">
        <v>14</v>
      </c>
      <c r="X291" s="340">
        <v>400000</v>
      </c>
      <c r="Y291" s="341">
        <v>8276.7</v>
      </c>
      <c r="Z291" s="341">
        <f t="shared" si="38"/>
        <v>0.02069175</v>
      </c>
      <c r="AA291" s="321" t="e">
        <f>(Y290-Y289)/(X290-X289)*(W275-X289)+Y289</f>
        <v>#REF!</v>
      </c>
      <c r="AB291" s="319"/>
      <c r="AC291" s="323"/>
      <c r="AD291" s="324"/>
      <c r="AE291" s="324"/>
    </row>
    <row r="292" customHeight="1" spans="5:31">
      <c r="E292" s="325"/>
      <c r="F292" s="320"/>
      <c r="G292" s="339">
        <v>15</v>
      </c>
      <c r="H292" s="340">
        <v>600000</v>
      </c>
      <c r="I292" s="341">
        <v>11897.5</v>
      </c>
      <c r="J292" s="340">
        <f t="shared" si="35"/>
        <v>0.0198291666666667</v>
      </c>
      <c r="K292" s="320">
        <f>(I291-I290)/(H291-H290)*(G275-H290)+I290</f>
        <v>739.065158246099</v>
      </c>
      <c r="L292" s="339">
        <v>15</v>
      </c>
      <c r="M292" s="340">
        <v>600000</v>
      </c>
      <c r="N292" s="342">
        <v>11897.5</v>
      </c>
      <c r="O292" s="341">
        <f t="shared" si="36"/>
        <v>0.0198291666666667</v>
      </c>
      <c r="P292" s="321">
        <f>(N291-N290)/(M291-M290)*(L275-M290)+N290</f>
        <v>1425.0895713084</v>
      </c>
      <c r="Q292" s="319"/>
      <c r="R292" s="339">
        <v>15</v>
      </c>
      <c r="S292" s="340">
        <v>600000</v>
      </c>
      <c r="T292" s="341">
        <v>11897.5</v>
      </c>
      <c r="U292" s="341">
        <f t="shared" si="37"/>
        <v>0.0198291666666667</v>
      </c>
      <c r="V292" s="321">
        <f>(T291-T290)/(S291-S290)*(R275-S290)+T290</f>
        <v>624.899999999999</v>
      </c>
      <c r="W292" s="339">
        <v>15</v>
      </c>
      <c r="X292" s="340">
        <v>600000</v>
      </c>
      <c r="Y292" s="341">
        <v>11897.5</v>
      </c>
      <c r="Z292" s="341">
        <f t="shared" si="38"/>
        <v>0.0198291666666667</v>
      </c>
      <c r="AA292" s="321" t="e">
        <f>(Y291-Y290)/(X291-X290)*(W275-X290)+Y290</f>
        <v>#REF!</v>
      </c>
      <c r="AB292" s="319"/>
      <c r="AC292" s="323"/>
      <c r="AD292" s="324"/>
      <c r="AE292" s="324"/>
    </row>
    <row r="293" customHeight="1" spans="5:31">
      <c r="E293" s="325"/>
      <c r="F293" s="320"/>
      <c r="G293" s="339">
        <v>16</v>
      </c>
      <c r="H293" s="340">
        <v>800000</v>
      </c>
      <c r="I293" s="341">
        <v>15391.4</v>
      </c>
      <c r="J293" s="340">
        <f t="shared" si="35"/>
        <v>0.01923925</v>
      </c>
      <c r="K293" s="320">
        <f>(I292-I291)/(H292-H291)*(G275-H291)+I291</f>
        <v>1143.1449580432</v>
      </c>
      <c r="L293" s="339">
        <v>16</v>
      </c>
      <c r="M293" s="340">
        <v>800000</v>
      </c>
      <c r="N293" s="342">
        <v>15391.4</v>
      </c>
      <c r="O293" s="341">
        <f t="shared" si="36"/>
        <v>0.01923925</v>
      </c>
      <c r="P293" s="321">
        <f>(N292-N291)/(M292-M291)*(L275-M291)+N291</f>
        <v>1792.3927676608</v>
      </c>
      <c r="Q293" s="319"/>
      <c r="R293" s="339">
        <v>16</v>
      </c>
      <c r="S293" s="340">
        <v>800000</v>
      </c>
      <c r="T293" s="341">
        <v>15391.4</v>
      </c>
      <c r="U293" s="341">
        <f t="shared" si="37"/>
        <v>0.01923925</v>
      </c>
      <c r="V293" s="321">
        <f>(T292-T291)/(S292-S291)*(R275-S291)+T291</f>
        <v>1035.1</v>
      </c>
      <c r="W293" s="339">
        <v>16</v>
      </c>
      <c r="X293" s="340">
        <v>800000</v>
      </c>
      <c r="Y293" s="341">
        <v>15391.4</v>
      </c>
      <c r="Z293" s="341">
        <f t="shared" si="38"/>
        <v>0.01923925</v>
      </c>
      <c r="AA293" s="321" t="e">
        <f>(Y292-Y291)/(X292-X291)*(W275-X291)+Y291</f>
        <v>#REF!</v>
      </c>
      <c r="AB293" s="319"/>
      <c r="AC293" s="323"/>
      <c r="AD293" s="324"/>
      <c r="AE293" s="324"/>
    </row>
    <row r="294" customHeight="1" spans="5:31">
      <c r="E294" s="325"/>
      <c r="F294" s="320"/>
      <c r="G294" s="339">
        <v>17</v>
      </c>
      <c r="H294" s="340">
        <v>1000000</v>
      </c>
      <c r="I294" s="341">
        <v>18793.8</v>
      </c>
      <c r="J294" s="340">
        <f t="shared" si="35"/>
        <v>0.0187938</v>
      </c>
      <c r="K294" s="320">
        <f>(I293-I292)/(H293-H292)*(G275-H292)+I292</f>
        <v>1520.0582520181</v>
      </c>
      <c r="L294" s="339">
        <v>17</v>
      </c>
      <c r="M294" s="340">
        <v>1000000</v>
      </c>
      <c r="N294" s="342">
        <v>18793.8</v>
      </c>
      <c r="O294" s="341">
        <f t="shared" si="36"/>
        <v>0.0187938</v>
      </c>
      <c r="P294" s="321">
        <f>(N293-N292)/(M293-M292)*(L275-M292)+N292</f>
        <v>2146.5515468764</v>
      </c>
      <c r="Q294" s="319"/>
      <c r="R294" s="339">
        <v>17</v>
      </c>
      <c r="S294" s="340">
        <v>1000000</v>
      </c>
      <c r="T294" s="341">
        <v>18793.8</v>
      </c>
      <c r="U294" s="341">
        <f t="shared" si="37"/>
        <v>0.0187938</v>
      </c>
      <c r="V294" s="321">
        <f>(T293-T292)/(S293-S292)*(R275-S292)+T292</f>
        <v>1415.8</v>
      </c>
      <c r="W294" s="339">
        <v>17</v>
      </c>
      <c r="X294" s="340">
        <v>1000000</v>
      </c>
      <c r="Y294" s="341">
        <v>18793.8</v>
      </c>
      <c r="Z294" s="341">
        <f t="shared" si="38"/>
        <v>0.0187938</v>
      </c>
      <c r="AA294" s="321" t="e">
        <f>(Y293-Y292)/(X293-X292)*(W275-X292)+Y292</f>
        <v>#REF!</v>
      </c>
      <c r="AB294" s="319"/>
      <c r="AC294" s="323"/>
      <c r="AD294" s="324"/>
      <c r="AE294" s="324"/>
    </row>
    <row r="295" customHeight="1" spans="5:31">
      <c r="E295" s="325"/>
      <c r="F295" s="320"/>
      <c r="G295" s="343">
        <v>18</v>
      </c>
      <c r="H295" s="344">
        <v>2000000</v>
      </c>
      <c r="I295" s="345">
        <v>34948.9</v>
      </c>
      <c r="J295" s="344">
        <f t="shared" si="35"/>
        <v>0.01747445</v>
      </c>
      <c r="K295" s="320">
        <f>(I294-I293)/(H294-H293)*(G275-H293)+I293</f>
        <v>1883.3278847896</v>
      </c>
      <c r="L295" s="343">
        <v>18</v>
      </c>
      <c r="M295" s="344">
        <v>2000000</v>
      </c>
      <c r="N295" s="346">
        <v>34948.9</v>
      </c>
      <c r="O295" s="345">
        <f t="shared" si="36"/>
        <v>0.01747445</v>
      </c>
      <c r="P295" s="321">
        <f>(N294-N293)/(M294-M293)*(L275-M293)+N293</f>
        <v>2493.4142600224</v>
      </c>
      <c r="Q295" s="319"/>
      <c r="R295" s="343">
        <v>18</v>
      </c>
      <c r="S295" s="344">
        <v>2000000</v>
      </c>
      <c r="T295" s="345">
        <v>34948.9</v>
      </c>
      <c r="U295" s="345">
        <f t="shared" si="37"/>
        <v>0.01747445</v>
      </c>
      <c r="V295" s="321">
        <f>(T294-T293)/(S294-S293)*(R275-S293)+T293</f>
        <v>1781.8</v>
      </c>
      <c r="W295" s="343">
        <v>18</v>
      </c>
      <c r="X295" s="344">
        <v>2000000</v>
      </c>
      <c r="Y295" s="345">
        <v>34948.9</v>
      </c>
      <c r="Z295" s="345">
        <f t="shared" si="38"/>
        <v>0.01747445</v>
      </c>
      <c r="AA295" s="321" t="e">
        <f>(Y294-Y293)/(X294-X293)*(W275-X293)+Y293</f>
        <v>#REF!</v>
      </c>
      <c r="AB295" s="319"/>
      <c r="AC295" s="323"/>
      <c r="AD295" s="324"/>
      <c r="AE295" s="324"/>
    </row>
    <row r="296" customHeight="1" spans="5:31">
      <c r="E296" s="325"/>
      <c r="F296" s="320"/>
      <c r="G296" s="320"/>
      <c r="H296" s="347"/>
      <c r="I296" s="319"/>
      <c r="J296" s="321"/>
      <c r="K296" s="320">
        <f>(I295-I294)/(H295-H294)*(G275-H294)+I294</f>
        <v>2735.11389205058</v>
      </c>
      <c r="L296" s="320"/>
      <c r="M296" s="347"/>
      <c r="N296" s="348"/>
      <c r="O296" s="319"/>
      <c r="P296" s="321">
        <f>(N295-N294)/(M295-M294)*(L275-M294)+N294</f>
        <v>3314.47001716952</v>
      </c>
      <c r="Q296" s="319"/>
      <c r="R296" s="320"/>
      <c r="S296" s="347"/>
      <c r="T296" s="319"/>
      <c r="U296" s="319"/>
      <c r="V296" s="321">
        <f>(T295-T294)/(S295-S294)*(R275-S294)+T294</f>
        <v>2638.7</v>
      </c>
      <c r="W296" s="320"/>
      <c r="X296" s="347"/>
      <c r="Y296" s="319"/>
      <c r="Z296" s="319"/>
      <c r="AA296" s="321" t="e">
        <f>(Y295-Y294)/(X295-X294)*(W275-X294)+Y294</f>
        <v>#REF!</v>
      </c>
      <c r="AB296" s="319"/>
      <c r="AC296" s="323"/>
      <c r="AD296" s="324"/>
      <c r="AE296" s="324"/>
    </row>
    <row r="297" customHeight="1" spans="5:31">
      <c r="E297" s="325"/>
      <c r="F297" s="320"/>
      <c r="G297" s="320"/>
      <c r="H297" s="319"/>
      <c r="I297" s="319"/>
      <c r="J297" s="321"/>
      <c r="K297" s="320"/>
      <c r="L297" s="320"/>
      <c r="M297" s="320"/>
      <c r="N297" s="322"/>
      <c r="O297" s="321"/>
      <c r="P297" s="320"/>
      <c r="Q297" s="319"/>
      <c r="R297" s="319"/>
      <c r="S297" s="319"/>
      <c r="T297" s="319"/>
      <c r="U297" s="319"/>
      <c r="V297" s="319"/>
      <c r="W297" s="319"/>
      <c r="X297" s="319"/>
      <c r="Y297" s="319"/>
      <c r="Z297" s="319"/>
      <c r="AA297" s="319"/>
      <c r="AB297" s="319"/>
      <c r="AC297" s="323"/>
      <c r="AD297" s="324"/>
      <c r="AE297" s="324"/>
    </row>
    <row r="298" customHeight="1" spans="5:31">
      <c r="E298" s="325"/>
      <c r="F298" s="320"/>
      <c r="G298" s="326" t="s">
        <v>203</v>
      </c>
      <c r="H298" s="326" t="s">
        <v>204</v>
      </c>
      <c r="I298" s="326" t="s">
        <v>205</v>
      </c>
      <c r="J298" s="327"/>
      <c r="K298" s="326"/>
      <c r="L298" s="326" t="s">
        <v>203</v>
      </c>
      <c r="M298" s="326" t="s">
        <v>204</v>
      </c>
      <c r="N298" s="328" t="s">
        <v>205</v>
      </c>
      <c r="O298" s="326"/>
      <c r="P298" s="326"/>
      <c r="Q298" s="319"/>
      <c r="R298" s="319"/>
      <c r="S298" s="319"/>
      <c r="T298" s="319"/>
      <c r="U298" s="319"/>
      <c r="V298" s="319"/>
      <c r="W298" s="319"/>
      <c r="X298" s="319"/>
      <c r="Y298" s="319"/>
      <c r="Z298" s="319"/>
      <c r="AA298" s="319"/>
      <c r="AB298" s="319"/>
      <c r="AC298" s="323"/>
      <c r="AD298" s="324"/>
      <c r="AE298" s="324"/>
    </row>
    <row r="299" customHeight="1" spans="5:31">
      <c r="E299" s="325"/>
      <c r="F299" s="320"/>
      <c r="G299" s="329">
        <f>+H266</f>
        <v>2086.5139</v>
      </c>
      <c r="H299" s="330">
        <f>IF(K301&lt;&gt;0,K301,IF(K302&lt;&gt;0,K302,IF(K303&lt;&gt;0,K303,IF(G299&gt;H304,K306,IF(G299&gt;H303,K305,IF(G299&gt;=H302,K304,G299*4.5/100))))))</f>
        <v>74.11170175</v>
      </c>
      <c r="I299" s="329">
        <f>+H299/G299</f>
        <v>0.0355193903812479</v>
      </c>
      <c r="J299" s="327"/>
      <c r="K299" s="326"/>
      <c r="L299" s="329">
        <f>+H267</f>
        <v>4161.64</v>
      </c>
      <c r="M299" s="330">
        <f>IF(P301&lt;&gt;0,P301,IF(P302&lt;&gt;0,P302,IF(P303&lt;&gt;0,P303,IF(L299&gt;M304,P306,IF(L299&gt;M303,P305,IF(L299&gt;=M302,P304,L299*4.5/100))))))</f>
        <v>138.707282</v>
      </c>
      <c r="N299" s="331">
        <f>+M299/L299</f>
        <v>0.0333299569400525</v>
      </c>
      <c r="O299" s="332"/>
      <c r="P299" s="332"/>
      <c r="Q299" s="319"/>
      <c r="R299" s="319"/>
      <c r="S299" s="319"/>
      <c r="T299" s="319"/>
      <c r="U299" s="319"/>
      <c r="V299" s="319"/>
      <c r="W299" s="319"/>
      <c r="X299" s="319"/>
      <c r="Y299" s="319"/>
      <c r="Z299" s="319"/>
      <c r="AA299" s="319"/>
      <c r="AB299" s="319"/>
      <c r="AC299" s="323"/>
      <c r="AD299" s="324"/>
      <c r="AE299" s="324"/>
    </row>
    <row r="300" customHeight="1" spans="5:31">
      <c r="E300" s="325"/>
      <c r="F300" s="320"/>
      <c r="G300" s="333" t="s">
        <v>289</v>
      </c>
      <c r="H300" s="326"/>
      <c r="I300" s="326"/>
      <c r="J300" s="327"/>
      <c r="K300" s="326"/>
      <c r="L300" s="333" t="s">
        <v>289</v>
      </c>
      <c r="M300" s="326"/>
      <c r="N300" s="328"/>
      <c r="O300" s="332"/>
      <c r="P300" s="332"/>
      <c r="Q300" s="319"/>
      <c r="R300" s="319"/>
      <c r="S300" s="319"/>
      <c r="T300" s="319"/>
      <c r="U300" s="319"/>
      <c r="V300" s="319"/>
      <c r="W300" s="319"/>
      <c r="X300" s="319"/>
      <c r="Y300" s="319"/>
      <c r="Z300" s="319"/>
      <c r="AA300" s="319"/>
      <c r="AB300" s="319"/>
      <c r="AC300" s="323"/>
      <c r="AD300" s="324"/>
      <c r="AE300" s="324"/>
    </row>
    <row r="301" customHeight="1" spans="5:31">
      <c r="E301" s="325"/>
      <c r="F301" s="320"/>
      <c r="G301" s="334" t="s">
        <v>25</v>
      </c>
      <c r="H301" s="334" t="s">
        <v>203</v>
      </c>
      <c r="I301" s="334" t="s">
        <v>204</v>
      </c>
      <c r="J301" s="335" t="s">
        <v>205</v>
      </c>
      <c r="K301" s="336">
        <f>IF(G299&gt;H319,G299*1.6%,0)</f>
        <v>0</v>
      </c>
      <c r="L301" s="334" t="s">
        <v>25</v>
      </c>
      <c r="M301" s="334" t="s">
        <v>203</v>
      </c>
      <c r="N301" s="337" t="s">
        <v>204</v>
      </c>
      <c r="O301" s="334" t="s">
        <v>205</v>
      </c>
      <c r="P301" s="338">
        <f>IF(L299&gt;M319,L299*1.6%,0)</f>
        <v>0</v>
      </c>
      <c r="Q301" s="319"/>
      <c r="R301" s="319"/>
      <c r="S301" s="319"/>
      <c r="T301" s="319"/>
      <c r="U301" s="319"/>
      <c r="V301" s="319"/>
      <c r="W301" s="319"/>
      <c r="X301" s="319"/>
      <c r="Y301" s="319"/>
      <c r="Z301" s="319"/>
      <c r="AA301" s="319"/>
      <c r="AB301" s="319"/>
      <c r="AC301" s="323"/>
      <c r="AD301" s="324"/>
      <c r="AE301" s="324"/>
    </row>
    <row r="302" customHeight="1" spans="5:31">
      <c r="E302" s="325"/>
      <c r="F302" s="320"/>
      <c r="G302" s="339">
        <v>1</v>
      </c>
      <c r="H302" s="340">
        <v>200</v>
      </c>
      <c r="I302" s="341">
        <v>9</v>
      </c>
      <c r="J302" s="340">
        <f t="shared" ref="J302:J319" si="39">+I302/H302</f>
        <v>0.045</v>
      </c>
      <c r="K302" s="336">
        <f>IF(G299&gt;H318,K320,IF(G299&gt;H317,K319,IF(G299&gt;H316,K318,IF(G299&gt;H315,K317,IF(G299&gt;H314,K316,IF(G299&gt;H313,K315,IF(G299&gt;H312,K314,IF(G299&gt;H311,K313,0))))))))</f>
        <v>0</v>
      </c>
      <c r="L302" s="339">
        <v>1</v>
      </c>
      <c r="M302" s="340">
        <v>200</v>
      </c>
      <c r="N302" s="342">
        <v>9</v>
      </c>
      <c r="O302" s="341">
        <f t="shared" ref="O302:O319" si="40">+N302/M302</f>
        <v>0.045</v>
      </c>
      <c r="P302" s="338">
        <f>IF(L299&gt;M318,P320,IF(L299&gt;M317,P319,IF(L299&gt;M316,P318,IF(L299&gt;M315,P317,IF(L299&gt;M314,P316,IF(L299&gt;M313,P315,IF(L299&gt;M312,P314,IF(L299&gt;M311,P313,0))))))))</f>
        <v>0</v>
      </c>
      <c r="Q302" s="319"/>
      <c r="R302" s="319"/>
      <c r="S302" s="319"/>
      <c r="T302" s="319"/>
      <c r="U302" s="319"/>
      <c r="V302" s="319"/>
      <c r="W302" s="319"/>
      <c r="X302" s="319"/>
      <c r="Y302" s="319"/>
      <c r="Z302" s="319"/>
      <c r="AA302" s="319"/>
      <c r="AB302" s="319"/>
      <c r="AC302" s="323"/>
      <c r="AD302" s="324"/>
      <c r="AE302" s="324"/>
    </row>
    <row r="303" customHeight="1" spans="5:31">
      <c r="E303" s="325"/>
      <c r="F303" s="320"/>
      <c r="G303" s="339">
        <v>2</v>
      </c>
      <c r="H303" s="340">
        <v>500</v>
      </c>
      <c r="I303" s="341">
        <v>20.9</v>
      </c>
      <c r="J303" s="340">
        <f t="shared" si="39"/>
        <v>0.0418</v>
      </c>
      <c r="K303" s="320">
        <f>IF(K302&lt;&gt;0,K302,IF(G299&gt;H310,K312,IF(G299&gt;H309,K311,IF(G299&gt;H308,K310,IF(G299&gt;H307,K309,IF(G299&gt;H306,K308,IF(G299&gt;H305,K307,IF(G299&gt;H304,K306,0))))))))</f>
        <v>74.11170175</v>
      </c>
      <c r="L303" s="339">
        <v>2</v>
      </c>
      <c r="M303" s="340">
        <v>500</v>
      </c>
      <c r="N303" s="342">
        <v>20.9</v>
      </c>
      <c r="O303" s="341">
        <f t="shared" si="40"/>
        <v>0.0418</v>
      </c>
      <c r="P303" s="321">
        <f>IF(P302&lt;&gt;0,P302,IF(L299&gt;M310,P312,IF(L299&gt;M309,P311,IF(L299&gt;M308,P310,IF(L299&gt;M307,P309,IF(L299&gt;M306,P308,IF(L299&gt;M305,P307,IF(L299&gt;M304,P306,0))))))))</f>
        <v>138.707282</v>
      </c>
      <c r="Q303" s="319"/>
      <c r="R303" s="319"/>
      <c r="S303" s="319"/>
      <c r="T303" s="319"/>
      <c r="U303" s="319"/>
      <c r="V303" s="319"/>
      <c r="W303" s="319"/>
      <c r="X303" s="319"/>
      <c r="Y303" s="319"/>
      <c r="Z303" s="319"/>
      <c r="AA303" s="319"/>
      <c r="AB303" s="319"/>
      <c r="AC303" s="323"/>
      <c r="AD303" s="324"/>
      <c r="AE303" s="324"/>
    </row>
    <row r="304" customHeight="1" spans="5:31">
      <c r="E304" s="325"/>
      <c r="F304" s="320"/>
      <c r="G304" s="339">
        <v>3</v>
      </c>
      <c r="H304" s="340">
        <v>1000</v>
      </c>
      <c r="I304" s="341">
        <v>38.8</v>
      </c>
      <c r="J304" s="340">
        <f t="shared" si="39"/>
        <v>0.0388</v>
      </c>
      <c r="K304" s="320">
        <f>(I303-I302)/(H303-H302)*(G299-H302)+I302</f>
        <v>83.8317180333333</v>
      </c>
      <c r="L304" s="339">
        <v>3</v>
      </c>
      <c r="M304" s="340">
        <v>1000</v>
      </c>
      <c r="N304" s="342">
        <v>38.8</v>
      </c>
      <c r="O304" s="341">
        <f t="shared" si="40"/>
        <v>0.0388</v>
      </c>
      <c r="P304" s="321">
        <f>(N303-N302)/(M303-M302)*(L299-M302)+N302</f>
        <v>166.145053333333</v>
      </c>
      <c r="Q304" s="319"/>
      <c r="R304" s="319"/>
      <c r="S304" s="319"/>
      <c r="T304" s="319"/>
      <c r="U304" s="319"/>
      <c r="V304" s="319"/>
      <c r="W304" s="319"/>
      <c r="X304" s="319"/>
      <c r="Y304" s="319"/>
      <c r="Z304" s="319"/>
      <c r="AA304" s="319"/>
      <c r="AB304" s="319"/>
      <c r="AC304" s="323"/>
      <c r="AD304" s="324"/>
      <c r="AE304" s="324"/>
    </row>
    <row r="305" customHeight="1" spans="5:31">
      <c r="E305" s="325"/>
      <c r="F305" s="320"/>
      <c r="G305" s="339">
        <v>4</v>
      </c>
      <c r="H305" s="340">
        <v>3000</v>
      </c>
      <c r="I305" s="341">
        <v>103.8</v>
      </c>
      <c r="J305" s="340">
        <f t="shared" si="39"/>
        <v>0.0346</v>
      </c>
      <c r="K305" s="320">
        <f>(I304-I303)/(H304-H303)*(G299-H303)+I303</f>
        <v>77.69719762</v>
      </c>
      <c r="L305" s="339">
        <v>4</v>
      </c>
      <c r="M305" s="340">
        <v>3000</v>
      </c>
      <c r="N305" s="342">
        <v>103.8</v>
      </c>
      <c r="O305" s="341">
        <f t="shared" si="40"/>
        <v>0.0346</v>
      </c>
      <c r="P305" s="321">
        <f>(N304-N303)/(M304-M303)*(L299-M303)+N303</f>
        <v>151.986712</v>
      </c>
      <c r="Q305" s="319"/>
      <c r="R305" s="319"/>
      <c r="S305" s="319"/>
      <c r="T305" s="319"/>
      <c r="U305" s="319"/>
      <c r="V305" s="319"/>
      <c r="W305" s="319"/>
      <c r="X305" s="319"/>
      <c r="Y305" s="319"/>
      <c r="Z305" s="319"/>
      <c r="AA305" s="319"/>
      <c r="AB305" s="319"/>
      <c r="AC305" s="323"/>
      <c r="AD305" s="324"/>
      <c r="AE305" s="324"/>
    </row>
    <row r="306" customHeight="1" spans="5:31">
      <c r="E306" s="325"/>
      <c r="F306" s="320"/>
      <c r="G306" s="339">
        <v>5</v>
      </c>
      <c r="H306" s="340">
        <v>5000</v>
      </c>
      <c r="I306" s="341">
        <v>163.9</v>
      </c>
      <c r="J306" s="340">
        <f t="shared" si="39"/>
        <v>0.03278</v>
      </c>
      <c r="K306" s="320">
        <f>(I305-I304)/(H305-H304)*(G299-H304)+I304</f>
        <v>74.11170175</v>
      </c>
      <c r="L306" s="339">
        <v>5</v>
      </c>
      <c r="M306" s="340">
        <v>5000</v>
      </c>
      <c r="N306" s="342">
        <v>163.9</v>
      </c>
      <c r="O306" s="341">
        <f t="shared" si="40"/>
        <v>0.03278</v>
      </c>
      <c r="P306" s="321">
        <f>(N305-N304)/(M305-M304)*(L299-M304)+N304</f>
        <v>141.5533</v>
      </c>
      <c r="Q306" s="319"/>
      <c r="R306" s="319"/>
      <c r="S306" s="319"/>
      <c r="T306" s="319"/>
      <c r="U306" s="319"/>
      <c r="V306" s="319"/>
      <c r="W306" s="319"/>
      <c r="X306" s="319"/>
      <c r="Y306" s="319"/>
      <c r="Z306" s="319"/>
      <c r="AA306" s="319"/>
      <c r="AB306" s="319"/>
      <c r="AC306" s="323"/>
      <c r="AD306" s="324"/>
      <c r="AE306" s="324"/>
    </row>
    <row r="307" customHeight="1" spans="5:31">
      <c r="E307" s="325"/>
      <c r="F307" s="320"/>
      <c r="G307" s="339">
        <v>6</v>
      </c>
      <c r="H307" s="340">
        <v>8000</v>
      </c>
      <c r="I307" s="341">
        <v>249.6</v>
      </c>
      <c r="J307" s="340">
        <f t="shared" si="39"/>
        <v>0.0312</v>
      </c>
      <c r="K307" s="320">
        <f>(I306-I305)/(H306-H305)*(G299-H305)+I305</f>
        <v>76.349742695</v>
      </c>
      <c r="L307" s="339">
        <v>6</v>
      </c>
      <c r="M307" s="340">
        <v>8000</v>
      </c>
      <c r="N307" s="342">
        <v>249.6</v>
      </c>
      <c r="O307" s="341">
        <f t="shared" si="40"/>
        <v>0.0312</v>
      </c>
      <c r="P307" s="321">
        <f>(N306-N305)/(M306-M305)*(L299-M305)+N305</f>
        <v>138.707282</v>
      </c>
      <c r="Q307" s="319"/>
      <c r="R307" s="319"/>
      <c r="S307" s="319"/>
      <c r="T307" s="319"/>
      <c r="U307" s="319"/>
      <c r="V307" s="319"/>
      <c r="W307" s="319"/>
      <c r="X307" s="319"/>
      <c r="Y307" s="319"/>
      <c r="Z307" s="319"/>
      <c r="AA307" s="319"/>
      <c r="AB307" s="319"/>
      <c r="AC307" s="323"/>
      <c r="AD307" s="324"/>
      <c r="AE307" s="324"/>
    </row>
    <row r="308" customHeight="1" spans="5:31">
      <c r="E308" s="325"/>
      <c r="F308" s="320"/>
      <c r="G308" s="339">
        <v>7</v>
      </c>
      <c r="H308" s="340">
        <v>10000</v>
      </c>
      <c r="I308" s="341">
        <v>304.8</v>
      </c>
      <c r="J308" s="340">
        <f t="shared" si="39"/>
        <v>0.03048</v>
      </c>
      <c r="K308" s="320">
        <f>(I307-I306)/(H307-H306)*(G299-H306)+I306</f>
        <v>80.6714137433333</v>
      </c>
      <c r="L308" s="339">
        <v>7</v>
      </c>
      <c r="M308" s="340">
        <v>10000</v>
      </c>
      <c r="N308" s="342">
        <v>304.8</v>
      </c>
      <c r="O308" s="341">
        <f t="shared" si="40"/>
        <v>0.03048</v>
      </c>
      <c r="P308" s="321">
        <f>(N307-N306)/(M307-M306)*(L299-M306)+N306</f>
        <v>139.950849333333</v>
      </c>
      <c r="Q308" s="319"/>
      <c r="R308" s="319"/>
      <c r="S308" s="319"/>
      <c r="T308" s="319"/>
      <c r="U308" s="319"/>
      <c r="V308" s="319"/>
      <c r="W308" s="319"/>
      <c r="X308" s="319"/>
      <c r="Y308" s="319"/>
      <c r="Z308" s="319"/>
      <c r="AA308" s="319"/>
      <c r="AB308" s="319"/>
      <c r="AC308" s="323"/>
      <c r="AD308" s="324"/>
      <c r="AE308" s="324"/>
    </row>
    <row r="309" customHeight="1" spans="5:31">
      <c r="E309" s="325"/>
      <c r="F309" s="320"/>
      <c r="G309" s="339">
        <v>8</v>
      </c>
      <c r="H309" s="340">
        <v>20000</v>
      </c>
      <c r="I309" s="341">
        <v>566.8</v>
      </c>
      <c r="J309" s="340">
        <f t="shared" si="39"/>
        <v>0.02834</v>
      </c>
      <c r="K309" s="320">
        <f>(I308-I307)/(H308-H307)*(G299-H307)+I307</f>
        <v>86.3877836399999</v>
      </c>
      <c r="L309" s="339">
        <v>8</v>
      </c>
      <c r="M309" s="340">
        <v>20000</v>
      </c>
      <c r="N309" s="342">
        <v>566.8</v>
      </c>
      <c r="O309" s="341">
        <f t="shared" si="40"/>
        <v>0.02834</v>
      </c>
      <c r="P309" s="321">
        <f>(N308-N307)/(M308-M307)*(L299-M307)+N307</f>
        <v>143.661264</v>
      </c>
      <c r="Q309" s="319"/>
      <c r="R309" s="319"/>
      <c r="S309" s="319"/>
      <c r="T309" s="319"/>
      <c r="U309" s="319"/>
      <c r="V309" s="319"/>
      <c r="W309" s="319"/>
      <c r="X309" s="319"/>
      <c r="Y309" s="319"/>
      <c r="Z309" s="319"/>
      <c r="AA309" s="319"/>
      <c r="AB309" s="319"/>
      <c r="AC309" s="323"/>
      <c r="AD309" s="324"/>
      <c r="AE309" s="324"/>
    </row>
    <row r="310" customHeight="1" spans="5:31">
      <c r="E310" s="325"/>
      <c r="F310" s="320"/>
      <c r="G310" s="339">
        <v>9</v>
      </c>
      <c r="H310" s="340">
        <v>40000</v>
      </c>
      <c r="I310" s="341">
        <v>1054</v>
      </c>
      <c r="J310" s="340">
        <f t="shared" si="39"/>
        <v>0.02635</v>
      </c>
      <c r="K310" s="320">
        <f>(I309-I308)/(H309-H308)*(G299-H308)+I308</f>
        <v>97.4666641800001</v>
      </c>
      <c r="L310" s="339">
        <v>9</v>
      </c>
      <c r="M310" s="340">
        <v>40000</v>
      </c>
      <c r="N310" s="342">
        <v>1054</v>
      </c>
      <c r="O310" s="341">
        <f t="shared" si="40"/>
        <v>0.02635</v>
      </c>
      <c r="P310" s="321">
        <f>(N309-N308)/(M309-M308)*(L299-M308)+N308</f>
        <v>151.834968</v>
      </c>
      <c r="Q310" s="319"/>
      <c r="R310" s="319"/>
      <c r="S310" s="319"/>
      <c r="T310" s="319"/>
      <c r="U310" s="319"/>
      <c r="V310" s="319"/>
      <c r="W310" s="319"/>
      <c r="X310" s="319"/>
      <c r="Y310" s="319"/>
      <c r="Z310" s="319"/>
      <c r="AA310" s="319"/>
      <c r="AB310" s="319"/>
      <c r="AC310" s="323"/>
      <c r="AD310" s="324"/>
      <c r="AE310" s="324"/>
    </row>
    <row r="311" customHeight="1" spans="5:31">
      <c r="E311" s="325"/>
      <c r="F311" s="320"/>
      <c r="G311" s="339">
        <v>10</v>
      </c>
      <c r="H311" s="340">
        <v>60000</v>
      </c>
      <c r="I311" s="341">
        <v>1515.2</v>
      </c>
      <c r="J311" s="340">
        <f t="shared" si="39"/>
        <v>0.0252533333333333</v>
      </c>
      <c r="K311" s="320">
        <f>(I310-I309)/(H310-H309)*(G299-H309)+I309</f>
        <v>130.427478604</v>
      </c>
      <c r="L311" s="339">
        <v>10</v>
      </c>
      <c r="M311" s="340">
        <v>60000</v>
      </c>
      <c r="N311" s="342">
        <v>1515.2</v>
      </c>
      <c r="O311" s="341">
        <f t="shared" si="40"/>
        <v>0.0252533333333333</v>
      </c>
      <c r="P311" s="321">
        <f>(N310-N309)/(M310-M309)*(L299-M309)+N309</f>
        <v>180.9775504</v>
      </c>
      <c r="Q311" s="319"/>
      <c r="R311" s="319"/>
      <c r="S311" s="319"/>
      <c r="T311" s="319"/>
      <c r="U311" s="319"/>
      <c r="V311" s="319"/>
      <c r="W311" s="319"/>
      <c r="X311" s="319"/>
      <c r="Y311" s="319"/>
      <c r="Z311" s="319"/>
      <c r="AA311" s="319"/>
      <c r="AB311" s="319"/>
      <c r="AC311" s="323"/>
      <c r="AD311" s="324"/>
      <c r="AE311" s="324"/>
    </row>
    <row r="312" customHeight="1" spans="5:31">
      <c r="E312" s="325"/>
      <c r="F312" s="320"/>
      <c r="G312" s="339">
        <v>11</v>
      </c>
      <c r="H312" s="340">
        <v>80000</v>
      </c>
      <c r="I312" s="341">
        <v>1960.1</v>
      </c>
      <c r="J312" s="340">
        <f t="shared" si="39"/>
        <v>0.02450125</v>
      </c>
      <c r="K312" s="320">
        <f>(I311-I310)/(H311-H310)*(G299-H310)+I310</f>
        <v>179.715010534</v>
      </c>
      <c r="L312" s="339">
        <v>11</v>
      </c>
      <c r="M312" s="340">
        <v>80000</v>
      </c>
      <c r="N312" s="342">
        <v>1960.1</v>
      </c>
      <c r="O312" s="341">
        <f t="shared" si="40"/>
        <v>0.02450125</v>
      </c>
      <c r="P312" s="321">
        <f>(N311-N310)/(M311-M310)*(L299-M310)+N310</f>
        <v>227.5674184</v>
      </c>
      <c r="Q312" s="319"/>
      <c r="R312" s="319"/>
      <c r="S312" s="319"/>
      <c r="T312" s="319"/>
      <c r="U312" s="319"/>
      <c r="V312" s="319"/>
      <c r="W312" s="319"/>
      <c r="X312" s="319"/>
      <c r="Y312" s="319"/>
      <c r="Z312" s="319"/>
      <c r="AA312" s="319"/>
      <c r="AB312" s="319"/>
      <c r="AC312" s="323"/>
      <c r="AD312" s="324"/>
      <c r="AE312" s="324"/>
    </row>
    <row r="313" customHeight="1" spans="5:31">
      <c r="E313" s="325"/>
      <c r="F313" s="320"/>
      <c r="G313" s="339">
        <v>12</v>
      </c>
      <c r="H313" s="340">
        <v>100000</v>
      </c>
      <c r="I313" s="341">
        <v>2393.4</v>
      </c>
      <c r="J313" s="340">
        <f t="shared" si="39"/>
        <v>0.023934</v>
      </c>
      <c r="K313" s="320">
        <f>(I312-I311)/(H312-H311)*(G299-H311)+I311</f>
        <v>226.9145017055</v>
      </c>
      <c r="L313" s="339">
        <v>12</v>
      </c>
      <c r="M313" s="340">
        <v>100000</v>
      </c>
      <c r="N313" s="342">
        <v>2393.4</v>
      </c>
      <c r="O313" s="341">
        <f t="shared" si="40"/>
        <v>0.023934</v>
      </c>
      <c r="P313" s="321">
        <f>(N312-N311)/(M312-M311)*(L299-M311)+N311</f>
        <v>273.0756818</v>
      </c>
      <c r="Q313" s="319"/>
      <c r="R313" s="319"/>
      <c r="S313" s="319"/>
      <c r="T313" s="319"/>
      <c r="U313" s="319"/>
      <c r="V313" s="319"/>
      <c r="W313" s="319"/>
      <c r="X313" s="319"/>
      <c r="Y313" s="319"/>
      <c r="Z313" s="319"/>
      <c r="AA313" s="319"/>
      <c r="AB313" s="319"/>
      <c r="AC313" s="323"/>
      <c r="AD313" s="324"/>
      <c r="AE313" s="324"/>
    </row>
    <row r="314" customHeight="1" spans="5:31">
      <c r="E314" s="325"/>
      <c r="F314" s="320"/>
      <c r="G314" s="339">
        <v>13</v>
      </c>
      <c r="H314" s="340">
        <v>200000</v>
      </c>
      <c r="I314" s="341">
        <v>4450.8</v>
      </c>
      <c r="J314" s="340">
        <f t="shared" si="39"/>
        <v>0.022254</v>
      </c>
      <c r="K314" s="320">
        <f>(I313-I312)/(H313-H312)*(G299-H312)+I312</f>
        <v>272.104323643499</v>
      </c>
      <c r="L314" s="339">
        <v>13</v>
      </c>
      <c r="M314" s="340">
        <v>200000</v>
      </c>
      <c r="N314" s="342">
        <v>4450.8</v>
      </c>
      <c r="O314" s="341">
        <f t="shared" si="40"/>
        <v>0.022254</v>
      </c>
      <c r="P314" s="321">
        <f>(N313-N312)/(M313-M312)*(L299-M312)+N312</f>
        <v>317.061930599999</v>
      </c>
      <c r="Q314" s="319"/>
      <c r="R314" s="319"/>
      <c r="S314" s="319"/>
      <c r="T314" s="319"/>
      <c r="U314" s="319"/>
      <c r="V314" s="319"/>
      <c r="W314" s="319"/>
      <c r="X314" s="319"/>
      <c r="Y314" s="319"/>
      <c r="Z314" s="319"/>
      <c r="AA314" s="319"/>
      <c r="AB314" s="319"/>
      <c r="AC314" s="323"/>
      <c r="AD314" s="324"/>
      <c r="AE314" s="324"/>
    </row>
    <row r="315" customHeight="1" spans="5:31">
      <c r="E315" s="325"/>
      <c r="F315" s="320"/>
      <c r="G315" s="339">
        <v>14</v>
      </c>
      <c r="H315" s="340">
        <v>400000</v>
      </c>
      <c r="I315" s="341">
        <v>8276.7</v>
      </c>
      <c r="J315" s="340">
        <f t="shared" si="39"/>
        <v>0.02069175</v>
      </c>
      <c r="K315" s="320">
        <f>(I314-I313)/(H314-H313)*(G299-H313)+I313</f>
        <v>378.9279369786</v>
      </c>
      <c r="L315" s="339">
        <v>14</v>
      </c>
      <c r="M315" s="340">
        <v>400000</v>
      </c>
      <c r="N315" s="342">
        <v>8276.7</v>
      </c>
      <c r="O315" s="341">
        <f t="shared" si="40"/>
        <v>0.02069175</v>
      </c>
      <c r="P315" s="321">
        <f>(N314-N313)/(M314-M313)*(L299-M313)+N313</f>
        <v>421.62158136</v>
      </c>
      <c r="Q315" s="319"/>
      <c r="R315" s="319"/>
      <c r="S315" s="319"/>
      <c r="T315" s="319"/>
      <c r="U315" s="319"/>
      <c r="V315" s="319"/>
      <c r="W315" s="319"/>
      <c r="X315" s="319"/>
      <c r="Y315" s="319"/>
      <c r="Z315" s="319"/>
      <c r="AA315" s="319"/>
      <c r="AB315" s="319"/>
      <c r="AC315" s="323"/>
      <c r="AD315" s="324"/>
      <c r="AE315" s="324"/>
    </row>
    <row r="316" customHeight="1" spans="5:31">
      <c r="E316" s="325"/>
      <c r="F316" s="320"/>
      <c r="G316" s="339">
        <v>15</v>
      </c>
      <c r="H316" s="340">
        <v>600000</v>
      </c>
      <c r="I316" s="341">
        <v>11897.5</v>
      </c>
      <c r="J316" s="340">
        <f t="shared" si="39"/>
        <v>0.0198291666666667</v>
      </c>
      <c r="K316" s="320">
        <f>(I315-I314)/(H315-H314)*(G299-H314)+I314</f>
        <v>664.813967650049</v>
      </c>
      <c r="L316" s="339">
        <v>15</v>
      </c>
      <c r="M316" s="340">
        <v>600000</v>
      </c>
      <c r="N316" s="342">
        <v>11897.5</v>
      </c>
      <c r="O316" s="341">
        <f t="shared" si="40"/>
        <v>0.0198291666666667</v>
      </c>
      <c r="P316" s="321">
        <f>(N315-N314)/(M315-M314)*(L299-M314)+N314</f>
        <v>704.51009238</v>
      </c>
      <c r="Q316" s="319"/>
      <c r="R316" s="319"/>
      <c r="S316" s="319"/>
      <c r="T316" s="319"/>
      <c r="U316" s="319"/>
      <c r="V316" s="319"/>
      <c r="W316" s="319"/>
      <c r="X316" s="319"/>
      <c r="Y316" s="319"/>
      <c r="Z316" s="319"/>
      <c r="AA316" s="319"/>
      <c r="AB316" s="319"/>
      <c r="AC316" s="323"/>
      <c r="AD316" s="324"/>
      <c r="AE316" s="324"/>
    </row>
    <row r="317" customHeight="1" spans="5:31">
      <c r="E317" s="325"/>
      <c r="F317" s="320"/>
      <c r="G317" s="339">
        <v>16</v>
      </c>
      <c r="H317" s="340">
        <v>800000</v>
      </c>
      <c r="I317" s="341">
        <v>15391.4</v>
      </c>
      <c r="J317" s="340">
        <f t="shared" si="39"/>
        <v>0.01923925</v>
      </c>
      <c r="K317" s="320">
        <f>(I316-I315)/(H316-H315)*(G299-H315)+I315</f>
        <v>1072.8742476456</v>
      </c>
      <c r="L317" s="339">
        <v>16</v>
      </c>
      <c r="M317" s="340">
        <v>800000</v>
      </c>
      <c r="N317" s="342">
        <v>15391.4</v>
      </c>
      <c r="O317" s="341">
        <f t="shared" si="40"/>
        <v>0.01923925</v>
      </c>
      <c r="P317" s="321">
        <f>(N316-N315)/(M316-M315)*(L299-M315)+N315</f>
        <v>1110.44233056</v>
      </c>
      <c r="Q317" s="319"/>
      <c r="R317" s="319"/>
      <c r="S317" s="319"/>
      <c r="T317" s="319"/>
      <c r="U317" s="319"/>
      <c r="V317" s="319"/>
      <c r="W317" s="319"/>
      <c r="X317" s="319"/>
      <c r="Y317" s="319"/>
      <c r="Z317" s="319"/>
      <c r="AA317" s="319"/>
      <c r="AB317" s="319"/>
      <c r="AC317" s="323"/>
      <c r="AD317" s="324"/>
      <c r="AE317" s="324"/>
    </row>
    <row r="318" customHeight="1" spans="5:31">
      <c r="E318" s="325"/>
      <c r="F318" s="320"/>
      <c r="G318" s="339">
        <v>17</v>
      </c>
      <c r="H318" s="340">
        <v>1000000</v>
      </c>
      <c r="I318" s="341">
        <v>18793.8</v>
      </c>
      <c r="J318" s="340">
        <f t="shared" si="39"/>
        <v>0.0187938</v>
      </c>
      <c r="K318" s="320">
        <f>(I317-I316)/(H317-H316)*(G299-H316)+I316</f>
        <v>1452.25035457605</v>
      </c>
      <c r="L318" s="339">
        <v>17</v>
      </c>
      <c r="M318" s="340">
        <v>1000000</v>
      </c>
      <c r="N318" s="342">
        <v>18793.8</v>
      </c>
      <c r="O318" s="341">
        <f t="shared" si="40"/>
        <v>0.0187938</v>
      </c>
      <c r="P318" s="321">
        <f>(N317-N316)/(M317-M316)*(L299-M316)+N316</f>
        <v>1488.50176998</v>
      </c>
      <c r="Q318" s="319"/>
      <c r="R318" s="319"/>
      <c r="S318" s="319"/>
      <c r="T318" s="319"/>
      <c r="U318" s="319"/>
      <c r="V318" s="319"/>
      <c r="W318" s="319"/>
      <c r="X318" s="319"/>
      <c r="Y318" s="319"/>
      <c r="Z318" s="319"/>
      <c r="AA318" s="319"/>
      <c r="AB318" s="319"/>
      <c r="AC318" s="323"/>
      <c r="AD318" s="324"/>
      <c r="AE318" s="324"/>
    </row>
    <row r="319" customHeight="1" spans="5:31">
      <c r="E319" s="325"/>
      <c r="F319" s="320"/>
      <c r="G319" s="343">
        <v>18</v>
      </c>
      <c r="H319" s="344">
        <v>2000000</v>
      </c>
      <c r="I319" s="345">
        <v>34948.9</v>
      </c>
      <c r="J319" s="344">
        <f t="shared" si="39"/>
        <v>0.01747445</v>
      </c>
      <c r="K319" s="320">
        <f>(I318-I317)/(H318-H317)*(G299-H317)+I317</f>
        <v>1817.2957744668</v>
      </c>
      <c r="L319" s="343">
        <v>18</v>
      </c>
      <c r="M319" s="344">
        <v>2000000</v>
      </c>
      <c r="N319" s="346">
        <v>34948.9</v>
      </c>
      <c r="O319" s="345">
        <f t="shared" si="40"/>
        <v>0.01747445</v>
      </c>
      <c r="P319" s="321">
        <f>(N318-N317)/(M318-M317)*(L299-M317)+N317</f>
        <v>1852.59781968</v>
      </c>
      <c r="Q319" s="319"/>
      <c r="R319" s="319"/>
      <c r="S319" s="319"/>
      <c r="T319" s="319"/>
      <c r="U319" s="319"/>
      <c r="V319" s="319"/>
      <c r="W319" s="319"/>
      <c r="X319" s="319"/>
      <c r="Y319" s="319"/>
      <c r="Z319" s="319"/>
      <c r="AA319" s="319"/>
      <c r="AB319" s="319"/>
      <c r="AC319" s="323"/>
      <c r="AD319" s="324"/>
      <c r="AE319" s="324"/>
    </row>
    <row r="320" customHeight="1" spans="5:31">
      <c r="E320" s="325"/>
      <c r="F320" s="320"/>
      <c r="G320" s="320"/>
      <c r="H320" s="347"/>
      <c r="I320" s="319"/>
      <c r="J320" s="321"/>
      <c r="K320" s="320">
        <f>(I319-I318)/(H319-H318)*(G299-H318)+I318</f>
        <v>2672.40784070589</v>
      </c>
      <c r="L320" s="320"/>
      <c r="M320" s="347"/>
      <c r="N320" s="348"/>
      <c r="O320" s="319"/>
      <c r="P320" s="321">
        <f>(N319-N318)/(M319-M318)*(L299-M318)+N318</f>
        <v>2705.931710364</v>
      </c>
      <c r="Q320" s="319"/>
      <c r="R320" s="319"/>
      <c r="S320" s="319"/>
      <c r="T320" s="319"/>
      <c r="U320" s="319"/>
      <c r="V320" s="319"/>
      <c r="W320" s="319"/>
      <c r="X320" s="319"/>
      <c r="Y320" s="319"/>
      <c r="Z320" s="319"/>
      <c r="AA320" s="319"/>
      <c r="AB320" s="319"/>
      <c r="AC320" s="323"/>
      <c r="AD320" s="324"/>
      <c r="AE320" s="324"/>
    </row>
    <row r="321" customHeight="1" spans="5:31">
      <c r="E321" s="215"/>
      <c r="F321" s="217"/>
      <c r="G321" s="217"/>
      <c r="H321" s="217"/>
      <c r="I321" s="217"/>
      <c r="J321" s="218"/>
      <c r="K321" s="219"/>
      <c r="L321" s="217"/>
      <c r="M321" s="217"/>
      <c r="N321" s="349"/>
      <c r="O321" s="217"/>
      <c r="P321" s="217"/>
      <c r="Q321" s="217"/>
      <c r="R321" s="217"/>
      <c r="S321" s="217"/>
      <c r="T321" s="217"/>
      <c r="U321" s="217"/>
      <c r="V321" s="217"/>
      <c r="W321" s="217"/>
      <c r="X321" s="217"/>
      <c r="Y321" s="217"/>
      <c r="Z321" s="217"/>
      <c r="AA321" s="217"/>
      <c r="AB321" s="217"/>
      <c r="AC321" s="350"/>
      <c r="AD321" s="351"/>
      <c r="AE321" s="351"/>
    </row>
    <row r="322" customHeight="1" spans="5:31">
      <c r="E322" s="215"/>
      <c r="F322" s="217"/>
      <c r="G322" s="217"/>
      <c r="H322" s="217"/>
      <c r="I322" s="217"/>
      <c r="J322" s="218"/>
      <c r="K322" s="219"/>
      <c r="L322" s="217"/>
      <c r="M322" s="217"/>
      <c r="N322" s="349"/>
      <c r="O322" s="217"/>
      <c r="P322" s="217"/>
      <c r="Q322" s="217"/>
      <c r="R322" s="217"/>
      <c r="S322" s="217"/>
      <c r="T322" s="217"/>
      <c r="U322" s="217"/>
      <c r="V322" s="217"/>
      <c r="W322" s="217"/>
      <c r="X322" s="217"/>
      <c r="Y322" s="217"/>
      <c r="Z322" s="217"/>
      <c r="AA322" s="217"/>
      <c r="AB322" s="217"/>
      <c r="AC322" s="350"/>
      <c r="AD322" s="351"/>
      <c r="AE322" s="351"/>
    </row>
    <row r="323" customHeight="1" spans="5:31">
      <c r="E323" s="352"/>
      <c r="F323" s="353"/>
      <c r="G323" s="354" t="s">
        <v>203</v>
      </c>
      <c r="H323" s="354" t="s">
        <v>204</v>
      </c>
      <c r="I323" s="354" t="s">
        <v>205</v>
      </c>
      <c r="J323" s="355"/>
      <c r="K323" s="354"/>
      <c r="L323" s="353"/>
      <c r="M323" s="353"/>
      <c r="N323" s="356"/>
      <c r="O323" s="353"/>
      <c r="P323" s="353"/>
      <c r="Q323" s="353"/>
      <c r="R323" s="353"/>
      <c r="S323" s="353"/>
      <c r="T323" s="353"/>
      <c r="U323" s="353"/>
      <c r="V323" s="353"/>
      <c r="W323" s="353"/>
      <c r="X323" s="353"/>
      <c r="Y323" s="353"/>
      <c r="Z323" s="353"/>
      <c r="AA323" s="353"/>
      <c r="AB323" s="353"/>
      <c r="AC323" s="357"/>
      <c r="AD323" s="351"/>
      <c r="AE323" s="351"/>
    </row>
    <row r="324" customHeight="1" spans="5:31">
      <c r="E324" s="351"/>
      <c r="F324" s="351"/>
      <c r="G324" s="358" t="e">
        <f>+#REF!</f>
        <v>#REF!</v>
      </c>
      <c r="H324" s="359" t="e">
        <f>IF(K326&lt;&gt;0,K326,IF(K327&lt;&gt;0,K327,IF(K328&lt;&gt;0,K328,IF(G324&gt;H329,K331,IF(G324&gt;H328,K330,IF(G324&gt;=H327,K329,G324*4.5/100))))))</f>
        <v>#REF!</v>
      </c>
      <c r="I324" s="358" t="e">
        <f>+H324/G324</f>
        <v>#REF!</v>
      </c>
      <c r="J324" s="360"/>
      <c r="K324" s="361"/>
      <c r="L324" s="351"/>
      <c r="M324" s="351"/>
      <c r="N324" s="362"/>
      <c r="O324" s="351"/>
      <c r="P324" s="351"/>
      <c r="Q324" s="351"/>
      <c r="R324" s="351"/>
      <c r="S324" s="351"/>
      <c r="T324" s="351"/>
      <c r="U324" s="351"/>
      <c r="V324" s="351"/>
      <c r="W324" s="351"/>
      <c r="X324" s="351"/>
      <c r="Y324" s="351"/>
      <c r="Z324" s="351"/>
      <c r="AA324" s="351"/>
      <c r="AB324" s="351"/>
      <c r="AC324" s="351"/>
      <c r="AD324" s="351"/>
      <c r="AE324" s="351"/>
    </row>
    <row r="325" customHeight="1" spans="5:31">
      <c r="E325" s="351"/>
      <c r="F325" s="351"/>
      <c r="G325" s="333" t="s">
        <v>289</v>
      </c>
      <c r="H325" s="326"/>
      <c r="I325" s="326"/>
      <c r="J325" s="360"/>
      <c r="K325" s="361"/>
      <c r="L325" s="351"/>
      <c r="M325" s="351"/>
      <c r="N325" s="362"/>
      <c r="O325" s="351"/>
      <c r="P325" s="351"/>
      <c r="Q325" s="351"/>
      <c r="R325" s="351"/>
      <c r="S325" s="351"/>
      <c r="T325" s="351"/>
      <c r="U325" s="351"/>
      <c r="V325" s="351"/>
      <c r="W325" s="351"/>
      <c r="X325" s="351"/>
      <c r="Y325" s="351"/>
      <c r="Z325" s="351"/>
      <c r="AA325" s="351"/>
      <c r="AB325" s="351"/>
      <c r="AC325" s="351"/>
      <c r="AD325" s="351"/>
      <c r="AE325" s="351"/>
    </row>
    <row r="326" customHeight="1" spans="5:31">
      <c r="E326" s="351"/>
      <c r="F326" s="351"/>
      <c r="G326" s="334" t="s">
        <v>25</v>
      </c>
      <c r="H326" s="334" t="s">
        <v>203</v>
      </c>
      <c r="I326" s="334" t="s">
        <v>204</v>
      </c>
      <c r="J326" s="335" t="s">
        <v>205</v>
      </c>
      <c r="K326" s="336" t="e">
        <f>IF(G324&gt;H344,G324*1.6%,0)</f>
        <v>#REF!</v>
      </c>
      <c r="L326" s="351"/>
      <c r="M326" s="351"/>
      <c r="N326" s="362"/>
      <c r="O326" s="351"/>
      <c r="P326" s="351"/>
      <c r="Q326" s="351"/>
      <c r="R326" s="351"/>
      <c r="S326" s="351"/>
      <c r="T326" s="351"/>
      <c r="U326" s="351"/>
      <c r="V326" s="351"/>
      <c r="W326" s="351"/>
      <c r="X326" s="351"/>
      <c r="Y326" s="351"/>
      <c r="Z326" s="351"/>
      <c r="AA326" s="351"/>
      <c r="AB326" s="351"/>
      <c r="AC326" s="351"/>
      <c r="AD326" s="351"/>
      <c r="AE326" s="351"/>
    </row>
    <row r="327" customHeight="1" spans="5:31">
      <c r="E327" s="351"/>
      <c r="F327" s="351"/>
      <c r="G327" s="339">
        <v>1</v>
      </c>
      <c r="H327" s="340">
        <v>200</v>
      </c>
      <c r="I327" s="341">
        <v>9</v>
      </c>
      <c r="J327" s="340">
        <f t="shared" ref="J327:J344" si="41">+I327/H327</f>
        <v>0.045</v>
      </c>
      <c r="K327" s="336" t="e">
        <f>IF(G324&gt;H343,K345,IF(G324&gt;H342,K344,IF(G324&gt;H341,K343,IF(G324&gt;H340,K342,IF(G324&gt;H339,K341,IF(G324&gt;H338,K340,IF(G324&gt;H337,K339,IF(G324&gt;H336,K338,0))))))))</f>
        <v>#REF!</v>
      </c>
      <c r="L327" s="351"/>
      <c r="M327" s="351"/>
      <c r="N327" s="362"/>
      <c r="O327" s="351"/>
      <c r="P327" s="351"/>
      <c r="Q327" s="351"/>
      <c r="R327" s="351"/>
      <c r="S327" s="351"/>
      <c r="T327" s="351"/>
      <c r="U327" s="351"/>
      <c r="V327" s="351"/>
      <c r="W327" s="351"/>
      <c r="X327" s="351"/>
      <c r="Y327" s="351"/>
      <c r="Z327" s="351"/>
      <c r="AA327" s="351"/>
      <c r="AB327" s="351"/>
      <c r="AC327" s="351"/>
      <c r="AD327" s="351"/>
      <c r="AE327" s="351"/>
    </row>
    <row r="328" customHeight="1" spans="5:31">
      <c r="E328" s="351"/>
      <c r="F328" s="351"/>
      <c r="G328" s="339">
        <v>2</v>
      </c>
      <c r="H328" s="340">
        <v>500</v>
      </c>
      <c r="I328" s="341">
        <v>20.9</v>
      </c>
      <c r="J328" s="340">
        <f t="shared" si="41"/>
        <v>0.0418</v>
      </c>
      <c r="K328" s="320" t="e">
        <f>IF(K327&lt;&gt;0,K327,IF(G324&gt;H335,K337,IF(G324&gt;H334,K336,IF(G324&gt;H333,K335,IF(G324&gt;H332,K334,IF(G324&gt;H331,K333,IF(G324&gt;H330,K332,IF(G324&gt;H329,K331,0))))))))</f>
        <v>#REF!</v>
      </c>
      <c r="L328" s="351"/>
      <c r="M328" s="351"/>
      <c r="N328" s="362"/>
      <c r="O328" s="351"/>
      <c r="P328" s="351"/>
      <c r="Q328" s="351"/>
      <c r="R328" s="351"/>
      <c r="S328" s="351"/>
      <c r="T328" s="351"/>
      <c r="U328" s="351"/>
      <c r="V328" s="351"/>
      <c r="W328" s="351"/>
      <c r="X328" s="351"/>
      <c r="Y328" s="351"/>
      <c r="Z328" s="351"/>
      <c r="AA328" s="351"/>
      <c r="AB328" s="351"/>
      <c r="AC328" s="351"/>
      <c r="AD328" s="351"/>
      <c r="AE328" s="351"/>
    </row>
    <row r="329" customHeight="1" spans="5:31">
      <c r="E329" s="351"/>
      <c r="F329" s="351"/>
      <c r="G329" s="339">
        <v>3</v>
      </c>
      <c r="H329" s="340">
        <v>1000</v>
      </c>
      <c r="I329" s="341">
        <v>38.8</v>
      </c>
      <c r="J329" s="340">
        <f t="shared" si="41"/>
        <v>0.0388</v>
      </c>
      <c r="K329" s="320" t="e">
        <f>(I328-I327)/(H328-H327)*(G324-H327)+I327</f>
        <v>#REF!</v>
      </c>
      <c r="L329" s="351"/>
      <c r="M329" s="351"/>
      <c r="N329" s="362"/>
      <c r="O329" s="351"/>
      <c r="P329" s="351"/>
      <c r="Q329" s="351"/>
      <c r="R329" s="351"/>
      <c r="S329" s="351"/>
      <c r="T329" s="351"/>
      <c r="U329" s="351"/>
      <c r="V329" s="351"/>
      <c r="W329" s="351"/>
      <c r="X329" s="351"/>
      <c r="Y329" s="351"/>
      <c r="Z329" s="351"/>
      <c r="AA329" s="351"/>
      <c r="AB329" s="351"/>
      <c r="AC329" s="351"/>
      <c r="AD329" s="351"/>
      <c r="AE329" s="351"/>
    </row>
    <row r="330" customHeight="1" spans="5:31">
      <c r="E330" s="351"/>
      <c r="F330" s="351"/>
      <c r="G330" s="339">
        <v>4</v>
      </c>
      <c r="H330" s="340">
        <v>3000</v>
      </c>
      <c r="I330" s="341">
        <v>103.8</v>
      </c>
      <c r="J330" s="340">
        <f t="shared" si="41"/>
        <v>0.0346</v>
      </c>
      <c r="K330" s="320" t="e">
        <f>(I329-I328)/(H329-H328)*(G324-H328)+I328</f>
        <v>#REF!</v>
      </c>
      <c r="L330" s="351"/>
      <c r="M330" s="351"/>
      <c r="N330" s="362"/>
      <c r="O330" s="351"/>
      <c r="P330" s="351"/>
      <c r="Q330" s="351"/>
      <c r="R330" s="351"/>
      <c r="S330" s="351"/>
      <c r="T330" s="351"/>
      <c r="U330" s="351"/>
      <c r="V330" s="351"/>
      <c r="W330" s="351"/>
      <c r="X330" s="351"/>
      <c r="Y330" s="351"/>
      <c r="Z330" s="351"/>
      <c r="AA330" s="351"/>
      <c r="AB330" s="351"/>
      <c r="AC330" s="351"/>
      <c r="AD330" s="351"/>
      <c r="AE330" s="351"/>
    </row>
    <row r="331" customHeight="1" spans="5:31">
      <c r="E331" s="351"/>
      <c r="F331" s="351"/>
      <c r="G331" s="339">
        <v>5</v>
      </c>
      <c r="H331" s="340">
        <v>5000</v>
      </c>
      <c r="I331" s="341">
        <v>163.9</v>
      </c>
      <c r="J331" s="340">
        <f t="shared" si="41"/>
        <v>0.03278</v>
      </c>
      <c r="K331" s="320" t="e">
        <f>(I330-I329)/(H330-H329)*(G324-H329)+I329</f>
        <v>#REF!</v>
      </c>
      <c r="L331" s="351"/>
      <c r="M331" s="351"/>
      <c r="N331" s="362"/>
      <c r="O331" s="351"/>
      <c r="P331" s="351"/>
      <c r="Q331" s="351"/>
      <c r="R331" s="351"/>
      <c r="S331" s="351"/>
      <c r="T331" s="351"/>
      <c r="U331" s="351"/>
      <c r="V331" s="351"/>
      <c r="W331" s="351"/>
      <c r="X331" s="351"/>
      <c r="Y331" s="351"/>
      <c r="Z331" s="351"/>
      <c r="AA331" s="351"/>
      <c r="AB331" s="351"/>
      <c r="AC331" s="351"/>
      <c r="AD331" s="351"/>
      <c r="AE331" s="351"/>
    </row>
    <row r="332" customHeight="1" spans="5:31">
      <c r="E332" s="351"/>
      <c r="F332" s="351"/>
      <c r="G332" s="339">
        <v>6</v>
      </c>
      <c r="H332" s="340">
        <v>8000</v>
      </c>
      <c r="I332" s="341">
        <v>249.6</v>
      </c>
      <c r="J332" s="340">
        <f t="shared" si="41"/>
        <v>0.0312</v>
      </c>
      <c r="K332" s="320" t="e">
        <f>(I331-I330)/(H331-H330)*(G324-H330)+I330</f>
        <v>#REF!</v>
      </c>
      <c r="L332" s="351"/>
      <c r="M332" s="351"/>
      <c r="N332" s="362"/>
      <c r="O332" s="351"/>
      <c r="P332" s="351"/>
      <c r="Q332" s="351"/>
      <c r="R332" s="351"/>
      <c r="S332" s="351"/>
      <c r="T332" s="351"/>
      <c r="U332" s="351"/>
      <c r="V332" s="351"/>
      <c r="W332" s="351"/>
      <c r="X332" s="351"/>
      <c r="Y332" s="351"/>
      <c r="Z332" s="351"/>
      <c r="AA332" s="351"/>
      <c r="AB332" s="351"/>
      <c r="AC332" s="351"/>
      <c r="AD332" s="351"/>
      <c r="AE332" s="351"/>
    </row>
    <row r="333" customHeight="1" spans="5:31">
      <c r="E333" s="351"/>
      <c r="F333" s="351"/>
      <c r="G333" s="339">
        <v>7</v>
      </c>
      <c r="H333" s="340">
        <v>10000</v>
      </c>
      <c r="I333" s="341">
        <v>304.8</v>
      </c>
      <c r="J333" s="340">
        <f t="shared" si="41"/>
        <v>0.03048</v>
      </c>
      <c r="K333" s="320" t="e">
        <f>(I332-I331)/(H332-H331)*(G324-H331)+I331</f>
        <v>#REF!</v>
      </c>
      <c r="L333" s="351"/>
      <c r="M333" s="351"/>
      <c r="N333" s="362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</row>
    <row r="334" customHeight="1" spans="5:31">
      <c r="E334" s="351"/>
      <c r="F334" s="351"/>
      <c r="G334" s="339">
        <v>8</v>
      </c>
      <c r="H334" s="340">
        <v>20000</v>
      </c>
      <c r="I334" s="341">
        <v>566.8</v>
      </c>
      <c r="J334" s="340">
        <f t="shared" si="41"/>
        <v>0.02834</v>
      </c>
      <c r="K334" s="320" t="e">
        <f>(I333-I332)/(H333-H332)*(G324-H332)+I332</f>
        <v>#REF!</v>
      </c>
      <c r="L334" s="351"/>
      <c r="M334" s="351"/>
      <c r="N334" s="362"/>
      <c r="O334" s="351"/>
      <c r="P334" s="351"/>
      <c r="Q334" s="351"/>
      <c r="R334" s="351"/>
      <c r="S334" s="351"/>
      <c r="T334" s="351"/>
      <c r="U334" s="351"/>
      <c r="V334" s="351"/>
      <c r="W334" s="351"/>
      <c r="X334" s="351"/>
      <c r="Y334" s="351"/>
      <c r="Z334" s="351"/>
      <c r="AA334" s="351"/>
      <c r="AB334" s="351"/>
      <c r="AC334" s="351"/>
      <c r="AD334" s="351"/>
      <c r="AE334" s="351"/>
    </row>
    <row r="335" customHeight="1" spans="5:31">
      <c r="E335" s="351"/>
      <c r="F335" s="351"/>
      <c r="G335" s="339">
        <v>9</v>
      </c>
      <c r="H335" s="340">
        <v>40000</v>
      </c>
      <c r="I335" s="341">
        <v>1054</v>
      </c>
      <c r="J335" s="340">
        <f t="shared" si="41"/>
        <v>0.02635</v>
      </c>
      <c r="K335" s="320" t="e">
        <f>(I334-I333)/(H334-H333)*(G324-H333)+I333</f>
        <v>#REF!</v>
      </c>
      <c r="L335" s="351"/>
      <c r="M335" s="351"/>
      <c r="N335" s="362"/>
      <c r="O335" s="351"/>
      <c r="P335" s="351"/>
      <c r="Q335" s="351"/>
      <c r="R335" s="351"/>
      <c r="S335" s="351"/>
      <c r="T335" s="351"/>
      <c r="U335" s="351"/>
      <c r="V335" s="351"/>
      <c r="W335" s="351"/>
      <c r="X335" s="351"/>
      <c r="Y335" s="351"/>
      <c r="Z335" s="351"/>
      <c r="AA335" s="351"/>
      <c r="AB335" s="351"/>
      <c r="AC335" s="351"/>
      <c r="AD335" s="351"/>
      <c r="AE335" s="351"/>
    </row>
    <row r="336" customHeight="1" spans="5:31">
      <c r="E336" s="351"/>
      <c r="F336" s="351"/>
      <c r="G336" s="339">
        <v>10</v>
      </c>
      <c r="H336" s="340">
        <v>60000</v>
      </c>
      <c r="I336" s="341">
        <v>1515.2</v>
      </c>
      <c r="J336" s="340">
        <f t="shared" si="41"/>
        <v>0.0252533333333333</v>
      </c>
      <c r="K336" s="320" t="e">
        <f>(I335-I334)/(H335-H334)*(G324-H334)+I334</f>
        <v>#REF!</v>
      </c>
      <c r="L336" s="351"/>
      <c r="M336" s="351"/>
      <c r="N336" s="362"/>
      <c r="O336" s="351"/>
      <c r="P336" s="351"/>
      <c r="Q336" s="351"/>
      <c r="R336" s="351"/>
      <c r="S336" s="351"/>
      <c r="T336" s="351"/>
      <c r="U336" s="351"/>
      <c r="V336" s="351"/>
      <c r="W336" s="351"/>
      <c r="X336" s="351"/>
      <c r="Y336" s="351"/>
      <c r="Z336" s="351"/>
      <c r="AA336" s="351"/>
      <c r="AB336" s="351"/>
      <c r="AC336" s="351"/>
      <c r="AD336" s="351"/>
      <c r="AE336" s="351"/>
    </row>
    <row r="337" customHeight="1" spans="5:31">
      <c r="E337" s="351"/>
      <c r="F337" s="351"/>
      <c r="G337" s="339">
        <v>11</v>
      </c>
      <c r="H337" s="340">
        <v>80000</v>
      </c>
      <c r="I337" s="341">
        <v>1960.1</v>
      </c>
      <c r="J337" s="340">
        <f t="shared" si="41"/>
        <v>0.02450125</v>
      </c>
      <c r="K337" s="320" t="e">
        <f>(I336-I335)/(H336-H335)*(G324-H335)+I335</f>
        <v>#REF!</v>
      </c>
      <c r="L337" s="351"/>
      <c r="M337" s="351"/>
      <c r="N337" s="362"/>
      <c r="O337" s="351"/>
      <c r="P337" s="351"/>
      <c r="Q337" s="351"/>
      <c r="R337" s="351"/>
      <c r="S337" s="351"/>
      <c r="T337" s="351"/>
      <c r="U337" s="351"/>
      <c r="V337" s="351"/>
      <c r="W337" s="351"/>
      <c r="X337" s="351"/>
      <c r="Y337" s="351"/>
      <c r="Z337" s="351"/>
      <c r="AA337" s="351"/>
      <c r="AB337" s="351"/>
      <c r="AC337" s="351"/>
      <c r="AD337" s="351"/>
      <c r="AE337" s="351"/>
    </row>
    <row r="338" customHeight="1" spans="5:31">
      <c r="E338" s="351"/>
      <c r="F338" s="351"/>
      <c r="G338" s="339">
        <v>12</v>
      </c>
      <c r="H338" s="340">
        <v>100000</v>
      </c>
      <c r="I338" s="341">
        <v>2393.4</v>
      </c>
      <c r="J338" s="340">
        <f t="shared" si="41"/>
        <v>0.023934</v>
      </c>
      <c r="K338" s="320" t="e">
        <f>(I337-I336)/(H337-H336)*(G324-H336)+I336</f>
        <v>#REF!</v>
      </c>
      <c r="L338" s="351"/>
      <c r="M338" s="351"/>
      <c r="N338" s="362"/>
      <c r="O338" s="351"/>
      <c r="P338" s="351"/>
      <c r="Q338" s="351"/>
      <c r="R338" s="351"/>
      <c r="S338" s="351"/>
      <c r="T338" s="351"/>
      <c r="U338" s="351"/>
      <c r="V338" s="351"/>
      <c r="W338" s="351"/>
      <c r="X338" s="351"/>
      <c r="Y338" s="351"/>
      <c r="Z338" s="351"/>
      <c r="AA338" s="351"/>
      <c r="AB338" s="351"/>
      <c r="AC338" s="351"/>
      <c r="AD338" s="351"/>
      <c r="AE338" s="351"/>
    </row>
    <row r="339" customHeight="1" spans="5:31">
      <c r="E339" s="351"/>
      <c r="F339" s="351"/>
      <c r="G339" s="339">
        <v>13</v>
      </c>
      <c r="H339" s="340">
        <v>200000</v>
      </c>
      <c r="I339" s="341">
        <v>4450.8</v>
      </c>
      <c r="J339" s="340">
        <f t="shared" si="41"/>
        <v>0.022254</v>
      </c>
      <c r="K339" s="320" t="e">
        <f>(I338-I337)/(H338-H337)*(G324-H337)+I337</f>
        <v>#REF!</v>
      </c>
      <c r="L339" s="351"/>
      <c r="M339" s="351"/>
      <c r="N339" s="362"/>
      <c r="O339" s="351"/>
      <c r="P339" s="351"/>
      <c r="Q339" s="351"/>
      <c r="R339" s="351"/>
      <c r="S339" s="351"/>
      <c r="T339" s="351"/>
      <c r="U339" s="351"/>
      <c r="V339" s="351"/>
      <c r="W339" s="351"/>
      <c r="X339" s="351"/>
      <c r="Y339" s="351"/>
      <c r="Z339" s="351"/>
      <c r="AA339" s="351"/>
      <c r="AB339" s="351"/>
      <c r="AC339" s="351"/>
      <c r="AD339" s="351"/>
      <c r="AE339" s="351"/>
    </row>
    <row r="340" customHeight="1" spans="5:31">
      <c r="E340" s="351"/>
      <c r="F340" s="351"/>
      <c r="G340" s="339">
        <v>14</v>
      </c>
      <c r="H340" s="340">
        <v>400000</v>
      </c>
      <c r="I340" s="341">
        <v>8276.7</v>
      </c>
      <c r="J340" s="340">
        <f t="shared" si="41"/>
        <v>0.02069175</v>
      </c>
      <c r="K340" s="320" t="e">
        <f>(I339-I338)/(H339-H338)*(G324-H338)+I338</f>
        <v>#REF!</v>
      </c>
      <c r="L340" s="351"/>
      <c r="M340" s="351"/>
      <c r="N340" s="362"/>
      <c r="O340" s="351"/>
      <c r="P340" s="351"/>
      <c r="Q340" s="351"/>
      <c r="R340" s="351"/>
      <c r="S340" s="351"/>
      <c r="T340" s="351"/>
      <c r="U340" s="351"/>
      <c r="V340" s="351"/>
      <c r="W340" s="351"/>
      <c r="X340" s="351"/>
      <c r="Y340" s="351"/>
      <c r="Z340" s="351"/>
      <c r="AA340" s="351"/>
      <c r="AB340" s="351"/>
      <c r="AC340" s="351"/>
      <c r="AD340" s="351"/>
      <c r="AE340" s="351"/>
    </row>
    <row r="341" customHeight="1" spans="5:31">
      <c r="E341" s="351"/>
      <c r="F341" s="351"/>
      <c r="G341" s="339">
        <v>15</v>
      </c>
      <c r="H341" s="340">
        <v>600000</v>
      </c>
      <c r="I341" s="341">
        <v>11897.5</v>
      </c>
      <c r="J341" s="340">
        <f t="shared" si="41"/>
        <v>0.0198291666666667</v>
      </c>
      <c r="K341" s="320" t="e">
        <f>(I340-I339)/(H340-H339)*(G324-H339)+I339</f>
        <v>#REF!</v>
      </c>
      <c r="L341" s="351"/>
      <c r="M341" s="351"/>
      <c r="N341" s="362"/>
      <c r="O341" s="351"/>
      <c r="P341" s="351"/>
      <c r="Q341" s="351"/>
      <c r="R341" s="351"/>
      <c r="S341" s="351"/>
      <c r="T341" s="351"/>
      <c r="U341" s="351"/>
      <c r="V341" s="351"/>
      <c r="W341" s="351"/>
      <c r="X341" s="351"/>
      <c r="Y341" s="351"/>
      <c r="Z341" s="351"/>
      <c r="AA341" s="351"/>
      <c r="AB341" s="351"/>
      <c r="AC341" s="351"/>
      <c r="AD341" s="351"/>
      <c r="AE341" s="351"/>
    </row>
    <row r="342" customHeight="1" spans="5:31">
      <c r="E342" s="351"/>
      <c r="F342" s="351"/>
      <c r="G342" s="339">
        <v>16</v>
      </c>
      <c r="H342" s="340">
        <v>800000</v>
      </c>
      <c r="I342" s="341">
        <v>15391.4</v>
      </c>
      <c r="J342" s="340">
        <f t="shared" si="41"/>
        <v>0.01923925</v>
      </c>
      <c r="K342" s="320" t="e">
        <f>(I341-I340)/(H341-H340)*(G324-H340)+I340</f>
        <v>#REF!</v>
      </c>
      <c r="L342" s="351"/>
      <c r="M342" s="351"/>
      <c r="N342" s="362"/>
      <c r="O342" s="351"/>
      <c r="P342" s="351"/>
      <c r="Q342" s="351"/>
      <c r="R342" s="351"/>
      <c r="S342" s="351"/>
      <c r="T342" s="351"/>
      <c r="U342" s="351"/>
      <c r="V342" s="351"/>
      <c r="W342" s="351"/>
      <c r="X342" s="351"/>
      <c r="Y342" s="351"/>
      <c r="Z342" s="351"/>
      <c r="AA342" s="351"/>
      <c r="AB342" s="351"/>
      <c r="AC342" s="351"/>
      <c r="AD342" s="351"/>
      <c r="AE342" s="351"/>
    </row>
    <row r="343" customHeight="1" spans="5:31">
      <c r="E343" s="351"/>
      <c r="F343" s="351"/>
      <c r="G343" s="339">
        <v>17</v>
      </c>
      <c r="H343" s="340">
        <v>1000000</v>
      </c>
      <c r="I343" s="341">
        <v>18793.8</v>
      </c>
      <c r="J343" s="340">
        <f t="shared" si="41"/>
        <v>0.0187938</v>
      </c>
      <c r="K343" s="320" t="e">
        <f>(I342-I341)/(H342-H341)*(G324-H341)+I341</f>
        <v>#REF!</v>
      </c>
      <c r="L343" s="351"/>
      <c r="M343" s="351"/>
      <c r="N343" s="362"/>
      <c r="O343" s="351"/>
      <c r="P343" s="351"/>
      <c r="Q343" s="351"/>
      <c r="R343" s="351"/>
      <c r="S343" s="351"/>
      <c r="T343" s="351"/>
      <c r="U343" s="351"/>
      <c r="V343" s="351"/>
      <c r="W343" s="351"/>
      <c r="X343" s="351"/>
      <c r="Y343" s="351"/>
      <c r="Z343" s="351"/>
      <c r="AA343" s="351"/>
      <c r="AB343" s="351"/>
      <c r="AC343" s="351"/>
      <c r="AD343" s="351"/>
      <c r="AE343" s="351"/>
    </row>
    <row r="344" customHeight="1" spans="5:31">
      <c r="E344" s="351"/>
      <c r="F344" s="351"/>
      <c r="G344" s="343">
        <v>18</v>
      </c>
      <c r="H344" s="344">
        <v>2000000</v>
      </c>
      <c r="I344" s="345">
        <v>34948.9</v>
      </c>
      <c r="J344" s="344">
        <f t="shared" si="41"/>
        <v>0.01747445</v>
      </c>
      <c r="K344" s="320" t="e">
        <f>(I343-I342)/(H343-H342)*(G324-H342)+I342</f>
        <v>#REF!</v>
      </c>
      <c r="L344" s="351"/>
      <c r="M344" s="351"/>
      <c r="N344" s="362"/>
      <c r="O344" s="351"/>
      <c r="P344" s="351"/>
      <c r="Q344" s="351"/>
      <c r="R344" s="351"/>
      <c r="S344" s="351"/>
      <c r="T344" s="351"/>
      <c r="U344" s="351"/>
      <c r="V344" s="351"/>
      <c r="W344" s="351"/>
      <c r="X344" s="351"/>
      <c r="Y344" s="351"/>
      <c r="Z344" s="351"/>
      <c r="AA344" s="351"/>
      <c r="AB344" s="351"/>
      <c r="AC344" s="351"/>
      <c r="AD344" s="351"/>
      <c r="AE344" s="351"/>
    </row>
    <row r="345" customHeight="1" spans="5:31">
      <c r="E345" s="351"/>
      <c r="F345" s="351"/>
      <c r="G345" s="363"/>
      <c r="H345" s="364"/>
      <c r="I345" s="324"/>
      <c r="J345" s="365"/>
      <c r="K345" s="320" t="e">
        <f>(I344-I343)/(H344-H343)*(G324-H343)+I343</f>
        <v>#REF!</v>
      </c>
      <c r="L345" s="351"/>
      <c r="M345" s="351"/>
      <c r="N345" s="362"/>
      <c r="O345" s="351"/>
      <c r="P345" s="351"/>
      <c r="Q345" s="351"/>
      <c r="R345" s="351"/>
      <c r="S345" s="351"/>
      <c r="T345" s="351"/>
      <c r="U345" s="351"/>
      <c r="V345" s="351"/>
      <c r="W345" s="351"/>
      <c r="X345" s="351"/>
      <c r="Y345" s="351"/>
      <c r="Z345" s="351"/>
      <c r="AA345" s="351"/>
      <c r="AB345" s="351"/>
      <c r="AC345" s="351"/>
      <c r="AD345" s="351"/>
      <c r="AE345" s="351"/>
    </row>
    <row r="346" customHeight="1" spans="5:31">
      <c r="E346" s="351"/>
      <c r="F346" s="351"/>
      <c r="G346" s="351"/>
      <c r="H346" s="351"/>
      <c r="I346" s="351"/>
      <c r="J346" s="366"/>
      <c r="K346" s="367"/>
      <c r="L346" s="351"/>
      <c r="M346" s="351"/>
      <c r="N346" s="362"/>
      <c r="O346" s="351"/>
      <c r="P346" s="351"/>
      <c r="Q346" s="351"/>
      <c r="R346" s="351"/>
      <c r="S346" s="351"/>
      <c r="T346" s="351"/>
      <c r="U346" s="351"/>
      <c r="V346" s="351"/>
      <c r="W346" s="351"/>
      <c r="X346" s="351"/>
      <c r="Y346" s="351"/>
      <c r="Z346" s="351"/>
      <c r="AA346" s="351"/>
      <c r="AB346" s="351"/>
      <c r="AC346" s="351"/>
      <c r="AD346" s="351"/>
      <c r="AE346" s="351"/>
    </row>
    <row r="347" customHeight="1" spans="5:31">
      <c r="E347" s="351"/>
      <c r="F347" s="351"/>
      <c r="G347" s="351"/>
      <c r="H347" s="351"/>
      <c r="I347" s="351"/>
      <c r="J347" s="366"/>
      <c r="K347" s="367"/>
      <c r="L347" s="351"/>
      <c r="M347" s="351"/>
      <c r="N347" s="362" t="s">
        <v>290</v>
      </c>
      <c r="O347" s="351"/>
      <c r="P347" s="351"/>
      <c r="Q347" s="351"/>
      <c r="R347" s="351"/>
      <c r="S347" s="351"/>
      <c r="T347" s="351"/>
      <c r="U347" s="351"/>
      <c r="V347" s="351"/>
      <c r="W347" s="351"/>
      <c r="X347" s="351"/>
      <c r="Y347" s="351"/>
      <c r="Z347" s="351"/>
      <c r="AA347" s="351"/>
      <c r="AB347" s="351"/>
      <c r="AC347" s="351"/>
      <c r="AD347" s="351"/>
      <c r="AE347" s="351"/>
    </row>
  </sheetData>
  <protectedRanges>
    <protectedRange sqref="G95:G99 H96:H99" name="区域1_5_1"/>
    <protectedRange sqref="F107 F231" name="区域1_1_1_1"/>
    <protectedRange sqref="E161:I168 E160 H160:K160" name="区域1_4_2_1"/>
    <protectedRange sqref="F176:J183 E173 G173:I173 J178:L178" name="区域1_1_1"/>
    <protectedRange sqref="F194:J201 E191 G191:I191 J196:L196" name="区域1_1_1_2"/>
    <protectedRange sqref="M275 M299 H299 H275 H324 S275 X275" name="区域1_3_1_1"/>
  </protectedRanges>
  <mergeCells count="75">
    <mergeCell ref="A1:N1"/>
    <mergeCell ref="A2:N2"/>
    <mergeCell ref="F4:J4"/>
    <mergeCell ref="K4:M4"/>
    <mergeCell ref="E73:M73"/>
    <mergeCell ref="E74:F74"/>
    <mergeCell ref="E75:F75"/>
    <mergeCell ref="E76:F76"/>
    <mergeCell ref="E78:F78"/>
    <mergeCell ref="E80:F80"/>
    <mergeCell ref="E82:F82"/>
    <mergeCell ref="E85:F85"/>
    <mergeCell ref="E93:M93"/>
    <mergeCell ref="E94:F94"/>
    <mergeCell ref="E95:F95"/>
    <mergeCell ref="E96:F96"/>
    <mergeCell ref="E97:F97"/>
    <mergeCell ref="E98:F98"/>
    <mergeCell ref="E99:F99"/>
    <mergeCell ref="E102:G102"/>
    <mergeCell ref="E105:L105"/>
    <mergeCell ref="E135:M135"/>
    <mergeCell ref="E137:F137"/>
    <mergeCell ref="E138:F138"/>
    <mergeCell ref="E139:F139"/>
    <mergeCell ref="E140:F140"/>
    <mergeCell ref="E141:F141"/>
    <mergeCell ref="J141:L141"/>
    <mergeCell ref="E142:F142"/>
    <mergeCell ref="E143:F143"/>
    <mergeCell ref="E144:F144"/>
    <mergeCell ref="E145:F145"/>
    <mergeCell ref="J145:L145"/>
    <mergeCell ref="E146:F146"/>
    <mergeCell ref="E147:F147"/>
    <mergeCell ref="E148:F148"/>
    <mergeCell ref="E151:M151"/>
    <mergeCell ref="E152:F152"/>
    <mergeCell ref="E153:F153"/>
    <mergeCell ref="E154:F154"/>
    <mergeCell ref="E155:F155"/>
    <mergeCell ref="E156:F156"/>
    <mergeCell ref="E157:F157"/>
    <mergeCell ref="E160:J160"/>
    <mergeCell ref="E161:F161"/>
    <mergeCell ref="E173:G173"/>
    <mergeCell ref="E191:G191"/>
    <mergeCell ref="E209:L209"/>
    <mergeCell ref="E226:G226"/>
    <mergeCell ref="E229:L229"/>
    <mergeCell ref="F261:O261"/>
    <mergeCell ref="A4:A5"/>
    <mergeCell ref="B4:B5"/>
    <mergeCell ref="C4:C5"/>
    <mergeCell ref="D4:D5"/>
    <mergeCell ref="E4:E5"/>
    <mergeCell ref="E217:E223"/>
    <mergeCell ref="F218:F222"/>
    <mergeCell ref="I94:I95"/>
    <mergeCell ref="I152:I153"/>
    <mergeCell ref="J94:J95"/>
    <mergeCell ref="J152:J153"/>
    <mergeCell ref="K94:K95"/>
    <mergeCell ref="K152:K153"/>
    <mergeCell ref="L94:L95"/>
    <mergeCell ref="L96:L97"/>
    <mergeCell ref="L98:L99"/>
    <mergeCell ref="L152:L153"/>
    <mergeCell ref="L154:L155"/>
    <mergeCell ref="L156:L157"/>
    <mergeCell ref="M94:M95"/>
    <mergeCell ref="M96:M99"/>
    <mergeCell ref="M152:M153"/>
    <mergeCell ref="M154:M157"/>
    <mergeCell ref="N4:N5"/>
  </mergeCells>
  <printOptions horizontalCentered="1"/>
  <pageMargins left="0.314583333333333" right="0.196527777777778" top="0.275" bottom="0.196527777777778" header="0.472222222222222" footer="0.118055555555556"/>
  <pageSetup paperSize="9" scale="50" orientation="portrait" horizontalDpi="600" verticalDpi="600"/>
  <headerFooter alignWithMargins="0">
    <oddHeader>&amp;R第 &amp;P 页，共 &amp;N 页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9"/>
  <sheetViews>
    <sheetView workbookViewId="0">
      <selection activeCell="B11" sqref="B11"/>
    </sheetView>
  </sheetViews>
  <sheetFormatPr defaultColWidth="10.2857142857143" defaultRowHeight="15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39" t="s">
        <v>6</v>
      </c>
      <c r="B1" s="39"/>
      <c r="C1" s="39"/>
      <c r="D1" s="39"/>
      <c r="E1" s="39"/>
    </row>
    <row r="2" ht="34.9" customHeight="1" spans="1:5">
      <c r="A2" s="40" t="s">
        <v>291</v>
      </c>
      <c r="B2" s="40"/>
      <c r="C2" s="40"/>
      <c r="D2" s="40"/>
      <c r="E2" s="40"/>
    </row>
    <row r="3" ht="24.8" customHeight="1" spans="1:5">
      <c r="A3" s="3" t="s">
        <v>292</v>
      </c>
      <c r="B3" s="3"/>
      <c r="C3" s="3"/>
      <c r="D3" s="2" t="s">
        <v>293</v>
      </c>
      <c r="E3" s="2"/>
    </row>
    <row r="4" ht="19.4" customHeight="1" spans="1:5">
      <c r="A4" s="15" t="s">
        <v>25</v>
      </c>
      <c r="B4" s="15" t="s">
        <v>294</v>
      </c>
      <c r="C4" s="15" t="s">
        <v>295</v>
      </c>
      <c r="D4" s="16" t="s">
        <v>296</v>
      </c>
      <c r="E4" s="18"/>
    </row>
    <row r="5" ht="34.9" customHeight="1" spans="1:5">
      <c r="A5" s="22"/>
      <c r="B5" s="22"/>
      <c r="C5" s="22"/>
      <c r="D5" s="4" t="s">
        <v>297</v>
      </c>
      <c r="E5" s="41" t="s">
        <v>298</v>
      </c>
    </row>
    <row r="6" ht="17.05" customHeight="1" spans="1:5">
      <c r="A6" s="5" t="s">
        <v>299</v>
      </c>
      <c r="B6" s="6" t="s">
        <v>300</v>
      </c>
      <c r="C6" s="9">
        <v>2001426</v>
      </c>
      <c r="D6" s="9">
        <v>41422</v>
      </c>
      <c r="E6" s="9">
        <v>423757</v>
      </c>
    </row>
    <row r="7" s="38" customFormat="1" ht="16.3" customHeight="1" spans="1:5">
      <c r="A7" s="42">
        <v>2</v>
      </c>
      <c r="B7" s="43" t="s">
        <v>301</v>
      </c>
      <c r="C7" s="44">
        <v>325377</v>
      </c>
      <c r="D7" s="44"/>
      <c r="E7" s="44"/>
    </row>
    <row r="8" s="38" customFormat="1" ht="16.3" customHeight="1" spans="1:5">
      <c r="A8" s="42">
        <v>3</v>
      </c>
      <c r="B8" s="43" t="s">
        <v>130</v>
      </c>
      <c r="C8" s="44">
        <v>116340</v>
      </c>
      <c r="D8" s="44"/>
      <c r="E8" s="44"/>
    </row>
    <row r="9" s="38" customFormat="1" ht="16.3" customHeight="1" spans="1:5">
      <c r="A9" s="45" t="s">
        <v>302</v>
      </c>
      <c r="B9" s="46"/>
      <c r="C9" s="47">
        <f>C6+C7+C8</f>
        <v>2443143</v>
      </c>
      <c r="D9" s="44">
        <v>20119</v>
      </c>
      <c r="E9" s="44">
        <v>191405</v>
      </c>
    </row>
  </sheetData>
  <mergeCells count="9">
    <mergeCell ref="A1:E1"/>
    <mergeCell ref="A2:E2"/>
    <mergeCell ref="A3:C3"/>
    <mergeCell ref="D3:E3"/>
    <mergeCell ref="D4:E4"/>
    <mergeCell ref="A9:B9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9"/>
  <sheetViews>
    <sheetView workbookViewId="0">
      <selection activeCell="A1" sqref="A1"/>
    </sheetView>
  </sheetViews>
  <sheetFormatPr defaultColWidth="10.2857142857143" defaultRowHeight="15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36" t="s">
        <v>6</v>
      </c>
      <c r="B1" s="36" t="s">
        <v>6</v>
      </c>
      <c r="C1" s="36" t="s">
        <v>6</v>
      </c>
      <c r="D1" s="36" t="s">
        <v>6</v>
      </c>
      <c r="E1" s="36"/>
    </row>
    <row r="2" ht="27.9" customHeight="1" spans="1:5">
      <c r="A2" s="28" t="s">
        <v>303</v>
      </c>
      <c r="B2" s="28"/>
      <c r="C2" s="28"/>
      <c r="D2" s="28"/>
      <c r="E2" s="28"/>
    </row>
    <row r="3" ht="17.05" customHeight="1" spans="1:5">
      <c r="A3" s="37" t="s">
        <v>6</v>
      </c>
      <c r="B3" s="37"/>
      <c r="C3" s="37"/>
      <c r="D3" s="37"/>
      <c r="E3" s="37"/>
    </row>
    <row r="4" ht="19.4" customHeight="1" spans="1:5">
      <c r="A4" s="3" t="s">
        <v>304</v>
      </c>
      <c r="B4" s="3"/>
      <c r="C4" s="3"/>
      <c r="D4" s="2" t="s">
        <v>293</v>
      </c>
      <c r="E4" s="2"/>
    </row>
    <row r="5" ht="19.4" customHeight="1" spans="1:5">
      <c r="A5" s="15" t="s">
        <v>25</v>
      </c>
      <c r="B5" s="15" t="s">
        <v>305</v>
      </c>
      <c r="C5" s="15" t="s">
        <v>295</v>
      </c>
      <c r="D5" s="16" t="s">
        <v>306</v>
      </c>
      <c r="E5" s="18"/>
    </row>
    <row r="6" ht="34.9" customHeight="1" spans="1:5">
      <c r="A6" s="22"/>
      <c r="B6" s="22"/>
      <c r="C6" s="22"/>
      <c r="D6" s="4" t="s">
        <v>297</v>
      </c>
      <c r="E6" s="5" t="s">
        <v>298</v>
      </c>
    </row>
    <row r="7" ht="16.3" customHeight="1" spans="1:5">
      <c r="A7" s="5" t="s">
        <v>299</v>
      </c>
      <c r="B7" s="6" t="s">
        <v>41</v>
      </c>
      <c r="C7" s="9">
        <v>1992713</v>
      </c>
      <c r="D7" s="9">
        <v>41172</v>
      </c>
      <c r="E7" s="9">
        <v>420785</v>
      </c>
    </row>
    <row r="8" ht="16.3" customHeight="1" spans="1:5">
      <c r="A8" s="5" t="s">
        <v>307</v>
      </c>
      <c r="B8" s="6" t="s">
        <v>96</v>
      </c>
      <c r="C8" s="9">
        <v>8713</v>
      </c>
      <c r="D8" s="9">
        <v>250</v>
      </c>
      <c r="E8" s="9">
        <v>2972</v>
      </c>
    </row>
    <row r="9" ht="16.3" customHeight="1" spans="1:5">
      <c r="A9" s="23" t="s">
        <v>308</v>
      </c>
      <c r="B9" s="25"/>
      <c r="C9" s="9">
        <v>2001426</v>
      </c>
      <c r="D9" s="9">
        <v>41422</v>
      </c>
      <c r="E9" s="9">
        <v>423757</v>
      </c>
    </row>
  </sheetData>
  <mergeCells count="10">
    <mergeCell ref="D1:E1"/>
    <mergeCell ref="A2:E2"/>
    <mergeCell ref="A3:E3"/>
    <mergeCell ref="A4:C4"/>
    <mergeCell ref="D4:E4"/>
    <mergeCell ref="D5:E5"/>
    <mergeCell ref="A9:B9"/>
    <mergeCell ref="A5:A6"/>
    <mergeCell ref="B5:B6"/>
    <mergeCell ref="C5:C6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35"/>
  <sheetViews>
    <sheetView workbookViewId="0">
      <selection activeCell="C6" sqref="C6:C7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28" t="s">
        <v>309</v>
      </c>
      <c r="B1" s="28"/>
      <c r="C1" s="28"/>
    </row>
    <row r="2" ht="17.85" customHeight="1" spans="1:3">
      <c r="A2" s="2" t="s">
        <v>6</v>
      </c>
      <c r="B2" s="2"/>
      <c r="C2" s="2"/>
    </row>
    <row r="3" ht="17.05" customHeight="1" spans="1:3">
      <c r="A3" s="34" t="s">
        <v>310</v>
      </c>
      <c r="B3" s="34"/>
      <c r="C3" s="35" t="s">
        <v>311</v>
      </c>
    </row>
    <row r="4" ht="17.05" customHeight="1" spans="1:3">
      <c r="A4" s="4" t="s">
        <v>25</v>
      </c>
      <c r="B4" s="4" t="s">
        <v>312</v>
      </c>
      <c r="C4" s="4" t="s">
        <v>313</v>
      </c>
    </row>
    <row r="5" ht="16.3" customHeight="1" spans="1:3">
      <c r="A5" s="5" t="s">
        <v>299</v>
      </c>
      <c r="B5" s="6" t="s">
        <v>314</v>
      </c>
      <c r="C5" s="9">
        <v>1939994</v>
      </c>
    </row>
    <row r="6" ht="16.3" customHeight="1" spans="1:3">
      <c r="A6" s="5" t="s">
        <v>315</v>
      </c>
      <c r="B6" s="6" t="s">
        <v>42</v>
      </c>
      <c r="C6" s="9">
        <v>9174</v>
      </c>
    </row>
    <row r="7" ht="16.3" customHeight="1" spans="1:3">
      <c r="A7" s="5" t="s">
        <v>316</v>
      </c>
      <c r="B7" s="6" t="s">
        <v>50</v>
      </c>
      <c r="C7" s="9">
        <v>308357</v>
      </c>
    </row>
    <row r="8" ht="16.3" customHeight="1" spans="1:3">
      <c r="A8" s="5" t="s">
        <v>317</v>
      </c>
      <c r="B8" s="6" t="s">
        <v>60</v>
      </c>
      <c r="C8" s="9">
        <v>51630</v>
      </c>
    </row>
    <row r="9" ht="16.3" customHeight="1" spans="1:3">
      <c r="A9" s="5" t="s">
        <v>318</v>
      </c>
      <c r="B9" s="6" t="s">
        <v>71</v>
      </c>
      <c r="C9" s="9">
        <v>1570833</v>
      </c>
    </row>
    <row r="10" ht="16.3" customHeight="1" spans="1:3">
      <c r="A10" s="5" t="s">
        <v>307</v>
      </c>
      <c r="B10" s="6" t="s">
        <v>94</v>
      </c>
      <c r="C10" s="9">
        <v>52719</v>
      </c>
    </row>
    <row r="11" ht="16.3" customHeight="1" spans="1:3">
      <c r="A11" s="5" t="s">
        <v>319</v>
      </c>
      <c r="B11" s="6" t="s">
        <v>320</v>
      </c>
      <c r="C11" s="9">
        <v>50688</v>
      </c>
    </row>
    <row r="12" ht="16.3" customHeight="1" spans="1:3">
      <c r="A12" s="5" t="s">
        <v>321</v>
      </c>
      <c r="B12" s="6" t="s">
        <v>322</v>
      </c>
      <c r="C12" s="9">
        <v>41172</v>
      </c>
    </row>
    <row r="13" ht="16.3" customHeight="1" spans="1:3">
      <c r="A13" s="5" t="s">
        <v>323</v>
      </c>
      <c r="B13" s="6" t="s">
        <v>324</v>
      </c>
      <c r="C13" s="9">
        <v>9516</v>
      </c>
    </row>
    <row r="14" ht="16.3" customHeight="1" spans="1:3">
      <c r="A14" s="5" t="s">
        <v>325</v>
      </c>
      <c r="B14" s="6" t="s">
        <v>326</v>
      </c>
      <c r="C14" s="9">
        <v>2031</v>
      </c>
    </row>
    <row r="15" ht="16.3" customHeight="1" spans="1:3">
      <c r="A15" s="5" t="s">
        <v>327</v>
      </c>
      <c r="B15" s="6" t="s">
        <v>328</v>
      </c>
      <c r="C15" s="8"/>
    </row>
    <row r="16" ht="16.3" customHeight="1" spans="1:3">
      <c r="A16" s="5" t="s">
        <v>329</v>
      </c>
      <c r="B16" s="6" t="s">
        <v>330</v>
      </c>
      <c r="C16" s="8"/>
    </row>
    <row r="17" ht="16.3" customHeight="1" spans="1:3">
      <c r="A17" s="5" t="s">
        <v>331</v>
      </c>
      <c r="B17" s="6" t="s">
        <v>332</v>
      </c>
      <c r="C17" s="8"/>
    </row>
    <row r="18" ht="16.3" customHeight="1" spans="1:3">
      <c r="A18" s="5" t="s">
        <v>333</v>
      </c>
      <c r="B18" s="6" t="s">
        <v>334</v>
      </c>
      <c r="C18" s="8"/>
    </row>
    <row r="19" ht="16.3" customHeight="1" spans="1:3">
      <c r="A19" s="23" t="s">
        <v>335</v>
      </c>
      <c r="B19" s="25"/>
      <c r="C19" s="9">
        <v>1992713</v>
      </c>
    </row>
    <row r="20" ht="27.9" customHeight="1" spans="1:3">
      <c r="A20" s="28" t="s">
        <v>309</v>
      </c>
      <c r="B20" s="28"/>
      <c r="C20" s="28"/>
    </row>
    <row r="21" ht="17.85" customHeight="1" spans="1:3">
      <c r="A21" s="2" t="s">
        <v>6</v>
      </c>
      <c r="B21" s="2"/>
      <c r="C21" s="2"/>
    </row>
    <row r="22" ht="17.05" customHeight="1" spans="1:3">
      <c r="A22" s="34" t="s">
        <v>336</v>
      </c>
      <c r="B22" s="34"/>
      <c r="C22" s="35" t="s">
        <v>337</v>
      </c>
    </row>
    <row r="23" ht="17.05" customHeight="1" spans="1:3">
      <c r="A23" s="4" t="s">
        <v>25</v>
      </c>
      <c r="B23" s="4" t="s">
        <v>312</v>
      </c>
      <c r="C23" s="4" t="s">
        <v>313</v>
      </c>
    </row>
    <row r="24" ht="16.3" customHeight="1" spans="1:3">
      <c r="A24" s="5" t="s">
        <v>299</v>
      </c>
      <c r="B24" s="6" t="s">
        <v>314</v>
      </c>
      <c r="C24" s="9">
        <v>8422</v>
      </c>
    </row>
    <row r="25" ht="16.3" customHeight="1" spans="1:3">
      <c r="A25" s="5" t="s">
        <v>315</v>
      </c>
      <c r="B25" s="6" t="s">
        <v>97</v>
      </c>
      <c r="C25" s="9">
        <v>8422</v>
      </c>
    </row>
    <row r="26" ht="16.3" customHeight="1" spans="1:3">
      <c r="A26" s="5" t="s">
        <v>307</v>
      </c>
      <c r="B26" s="6" t="s">
        <v>94</v>
      </c>
      <c r="C26" s="9">
        <v>291</v>
      </c>
    </row>
    <row r="27" ht="16.3" customHeight="1" spans="1:3">
      <c r="A27" s="5" t="s">
        <v>319</v>
      </c>
      <c r="B27" s="6" t="s">
        <v>320</v>
      </c>
      <c r="C27" s="9">
        <v>291</v>
      </c>
    </row>
    <row r="28" ht="16.3" customHeight="1" spans="1:3">
      <c r="A28" s="5" t="s">
        <v>321</v>
      </c>
      <c r="B28" s="6" t="s">
        <v>322</v>
      </c>
      <c r="C28" s="9">
        <v>250</v>
      </c>
    </row>
    <row r="29" ht="16.3" customHeight="1" spans="1:3">
      <c r="A29" s="5" t="s">
        <v>323</v>
      </c>
      <c r="B29" s="6" t="s">
        <v>324</v>
      </c>
      <c r="C29" s="9">
        <v>41</v>
      </c>
    </row>
    <row r="30" ht="16.3" customHeight="1" spans="1:3">
      <c r="A30" s="5" t="s">
        <v>325</v>
      </c>
      <c r="B30" s="6" t="s">
        <v>326</v>
      </c>
      <c r="C30" s="8"/>
    </row>
    <row r="31" ht="16.3" customHeight="1" spans="1:3">
      <c r="A31" s="5" t="s">
        <v>327</v>
      </c>
      <c r="B31" s="6" t="s">
        <v>328</v>
      </c>
      <c r="C31" s="8"/>
    </row>
    <row r="32" ht="16.3" customHeight="1" spans="1:3">
      <c r="A32" s="5" t="s">
        <v>329</v>
      </c>
      <c r="B32" s="6" t="s">
        <v>330</v>
      </c>
      <c r="C32" s="8"/>
    </row>
    <row r="33" ht="16.3" customHeight="1" spans="1:3">
      <c r="A33" s="5" t="s">
        <v>331</v>
      </c>
      <c r="B33" s="6" t="s">
        <v>332</v>
      </c>
      <c r="C33" s="8"/>
    </row>
    <row r="34" ht="16.3" customHeight="1" spans="1:3">
      <c r="A34" s="5" t="s">
        <v>333</v>
      </c>
      <c r="B34" s="6" t="s">
        <v>334</v>
      </c>
      <c r="C34" s="8"/>
    </row>
    <row r="35" ht="16.3" customHeight="1" spans="1:3">
      <c r="A35" s="23" t="s">
        <v>335</v>
      </c>
      <c r="B35" s="25"/>
      <c r="C35" s="9">
        <v>8713</v>
      </c>
    </row>
  </sheetData>
  <mergeCells count="8">
    <mergeCell ref="A1:C1"/>
    <mergeCell ref="A2:C2"/>
    <mergeCell ref="A3:B3"/>
    <mergeCell ref="A19:B19"/>
    <mergeCell ref="A20:C20"/>
    <mergeCell ref="A21:C21"/>
    <mergeCell ref="A22:B22"/>
    <mergeCell ref="A35:B35"/>
  </mergeCells>
  <pageMargins left="0.78740157480315" right="0" top="0.393700787401575" bottom="0" header="0" footer="0"/>
  <pageSetup paperSize="9" orientation="portrait"/>
  <headerFooter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K47"/>
  <sheetViews>
    <sheetView topLeftCell="A33" workbookViewId="0">
      <selection activeCell="J44" sqref="J44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1" t="s">
        <v>338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311</v>
      </c>
      <c r="J3" s="2"/>
      <c r="K3" s="12" t="s">
        <v>6</v>
      </c>
    </row>
    <row r="4" ht="17.05" customHeight="1" spans="1:11">
      <c r="A4" s="13" t="s">
        <v>25</v>
      </c>
      <c r="B4" s="14"/>
      <c r="C4" s="15" t="s">
        <v>339</v>
      </c>
      <c r="D4" s="15" t="s">
        <v>340</v>
      </c>
      <c r="E4" s="15" t="s">
        <v>341</v>
      </c>
      <c r="F4" s="15" t="s">
        <v>342</v>
      </c>
      <c r="G4" s="15" t="s">
        <v>343</v>
      </c>
      <c r="H4" s="16" t="s">
        <v>344</v>
      </c>
      <c r="I4" s="17"/>
      <c r="J4" s="18"/>
      <c r="K4" s="19" t="s">
        <v>6</v>
      </c>
    </row>
    <row r="5" ht="17.05" customHeight="1" spans="1:11">
      <c r="A5" s="20"/>
      <c r="B5" s="21"/>
      <c r="C5" s="22"/>
      <c r="D5" s="22"/>
      <c r="E5" s="22"/>
      <c r="F5" s="22"/>
      <c r="G5" s="22"/>
      <c r="H5" s="16" t="s">
        <v>345</v>
      </c>
      <c r="I5" s="18"/>
      <c r="J5" s="4" t="s">
        <v>346</v>
      </c>
      <c r="K5" s="19" t="s">
        <v>6</v>
      </c>
    </row>
    <row r="6" ht="20.15" customHeight="1" spans="1:11">
      <c r="A6" s="23" t="s">
        <v>300</v>
      </c>
      <c r="B6" s="24"/>
      <c r="C6" s="24"/>
      <c r="D6" s="24"/>
      <c r="E6" s="24"/>
      <c r="F6" s="24"/>
      <c r="G6" s="24"/>
      <c r="H6" s="24"/>
      <c r="I6" s="24"/>
      <c r="J6" s="25"/>
      <c r="K6" t="s">
        <v>347</v>
      </c>
    </row>
    <row r="7" ht="20.15" customHeight="1" spans="1:11">
      <c r="A7" s="23" t="s">
        <v>41</v>
      </c>
      <c r="B7" s="24"/>
      <c r="C7" s="24"/>
      <c r="D7" s="24"/>
      <c r="E7" s="24"/>
      <c r="F7" s="24"/>
      <c r="G7" s="24"/>
      <c r="H7" s="24"/>
      <c r="I7" s="24"/>
      <c r="J7" s="25"/>
      <c r="K7" t="s">
        <v>348</v>
      </c>
    </row>
    <row r="8" ht="20.15" customHeight="1" spans="1:11">
      <c r="A8" s="23" t="s">
        <v>42</v>
      </c>
      <c r="B8" s="24"/>
      <c r="C8" s="24"/>
      <c r="D8" s="24"/>
      <c r="E8" s="24"/>
      <c r="F8" s="24"/>
      <c r="G8" s="24"/>
      <c r="H8" s="24"/>
      <c r="I8" s="24"/>
      <c r="J8" s="25"/>
      <c r="K8" t="s">
        <v>349</v>
      </c>
    </row>
    <row r="9" ht="27.9" customHeight="1" spans="1:11">
      <c r="A9" s="23" t="s">
        <v>299</v>
      </c>
      <c r="B9" s="25"/>
      <c r="C9" s="6" t="s">
        <v>350</v>
      </c>
      <c r="D9" s="6" t="s">
        <v>351</v>
      </c>
      <c r="E9" s="6" t="s">
        <v>352</v>
      </c>
      <c r="F9" s="5" t="s">
        <v>43</v>
      </c>
      <c r="G9" s="10">
        <v>36.704</v>
      </c>
      <c r="H9" s="26">
        <v>166.18</v>
      </c>
      <c r="I9" s="27"/>
      <c r="J9" s="9">
        <v>6099.47</v>
      </c>
      <c r="K9" t="s">
        <v>6</v>
      </c>
    </row>
    <row r="10" ht="20.15" customHeight="1" spans="1:11">
      <c r="A10" s="23" t="s">
        <v>307</v>
      </c>
      <c r="B10" s="25"/>
      <c r="C10" s="6" t="s">
        <v>353</v>
      </c>
      <c r="D10" s="6" t="s">
        <v>47</v>
      </c>
      <c r="E10" s="6" t="s">
        <v>6</v>
      </c>
      <c r="F10" s="5" t="s">
        <v>98</v>
      </c>
      <c r="G10" s="10">
        <v>8.05</v>
      </c>
      <c r="H10" s="26">
        <v>200</v>
      </c>
      <c r="I10" s="27"/>
      <c r="J10" s="9">
        <v>1610</v>
      </c>
      <c r="K10" t="s">
        <v>6</v>
      </c>
    </row>
    <row r="11" ht="39.55" customHeight="1" spans="1:11">
      <c r="A11" s="23" t="s">
        <v>327</v>
      </c>
      <c r="B11" s="25"/>
      <c r="C11" s="6" t="s">
        <v>354</v>
      </c>
      <c r="D11" s="6" t="s">
        <v>355</v>
      </c>
      <c r="E11" s="6" t="s">
        <v>356</v>
      </c>
      <c r="F11" s="5" t="s">
        <v>43</v>
      </c>
      <c r="G11" s="10">
        <v>36.704</v>
      </c>
      <c r="H11" s="26">
        <v>39.89</v>
      </c>
      <c r="I11" s="27"/>
      <c r="J11" s="9">
        <v>1464.12</v>
      </c>
      <c r="K11" t="s">
        <v>6</v>
      </c>
    </row>
    <row r="12" ht="20.15" customHeight="1" spans="1:11">
      <c r="A12" s="23" t="s">
        <v>50</v>
      </c>
      <c r="B12" s="24"/>
      <c r="C12" s="24"/>
      <c r="D12" s="24"/>
      <c r="E12" s="24"/>
      <c r="F12" s="24"/>
      <c r="G12" s="24"/>
      <c r="H12" s="24"/>
      <c r="I12" s="24"/>
      <c r="J12" s="25"/>
      <c r="K12" t="s">
        <v>349</v>
      </c>
    </row>
    <row r="13" ht="27.9" customHeight="1" spans="1:11">
      <c r="A13" s="23" t="s">
        <v>357</v>
      </c>
      <c r="B13" s="25"/>
      <c r="C13" s="6" t="s">
        <v>358</v>
      </c>
      <c r="D13" s="6" t="s">
        <v>359</v>
      </c>
      <c r="E13" s="6" t="s">
        <v>360</v>
      </c>
      <c r="F13" s="5" t="s">
        <v>43</v>
      </c>
      <c r="G13" s="10">
        <v>12.053</v>
      </c>
      <c r="H13" s="26">
        <v>944.17</v>
      </c>
      <c r="I13" s="27"/>
      <c r="J13" s="9">
        <v>11380.08</v>
      </c>
      <c r="K13" t="s">
        <v>6</v>
      </c>
    </row>
    <row r="14" ht="51.15" customHeight="1" spans="1:11">
      <c r="A14" s="23" t="s">
        <v>361</v>
      </c>
      <c r="B14" s="25"/>
      <c r="C14" s="6" t="s">
        <v>362</v>
      </c>
      <c r="D14" s="6" t="s">
        <v>54</v>
      </c>
      <c r="E14" s="6" t="s">
        <v>363</v>
      </c>
      <c r="F14" s="5" t="s">
        <v>364</v>
      </c>
      <c r="G14" s="10">
        <v>2</v>
      </c>
      <c r="H14" s="26">
        <v>4277.67</v>
      </c>
      <c r="I14" s="27"/>
      <c r="J14" s="9">
        <v>8555.34</v>
      </c>
      <c r="K14" t="s">
        <v>6</v>
      </c>
    </row>
    <row r="15" ht="62.8" customHeight="1" spans="1:11">
      <c r="A15" s="23" t="s">
        <v>365</v>
      </c>
      <c r="B15" s="25"/>
      <c r="C15" s="6" t="s">
        <v>366</v>
      </c>
      <c r="D15" s="6" t="s">
        <v>54</v>
      </c>
      <c r="E15" s="6" t="s">
        <v>367</v>
      </c>
      <c r="F15" s="5" t="s">
        <v>364</v>
      </c>
      <c r="G15" s="10">
        <v>4</v>
      </c>
      <c r="H15" s="26">
        <v>1536.22</v>
      </c>
      <c r="I15" s="27"/>
      <c r="J15" s="9">
        <v>6144.88</v>
      </c>
      <c r="K15" t="s">
        <v>6</v>
      </c>
    </row>
    <row r="16" ht="155.8" customHeight="1" spans="1:11">
      <c r="A16" s="23" t="s">
        <v>368</v>
      </c>
      <c r="B16" s="25"/>
      <c r="C16" s="6" t="s">
        <v>369</v>
      </c>
      <c r="D16" s="6" t="s">
        <v>370</v>
      </c>
      <c r="E16" s="6" t="s">
        <v>371</v>
      </c>
      <c r="F16" s="5" t="s">
        <v>372</v>
      </c>
      <c r="G16" s="10">
        <v>549</v>
      </c>
      <c r="H16" s="26">
        <v>426.33</v>
      </c>
      <c r="I16" s="27"/>
      <c r="J16" s="9">
        <v>234055.17</v>
      </c>
      <c r="K16" t="s">
        <v>6</v>
      </c>
    </row>
    <row r="17" ht="51.15" customHeight="1" spans="1:11">
      <c r="A17" s="23" t="s">
        <v>373</v>
      </c>
      <c r="B17" s="25"/>
      <c r="C17" s="6" t="s">
        <v>374</v>
      </c>
      <c r="D17" s="6" t="s">
        <v>59</v>
      </c>
      <c r="E17" s="6" t="s">
        <v>375</v>
      </c>
      <c r="F17" s="5" t="s">
        <v>376</v>
      </c>
      <c r="G17" s="10">
        <v>148</v>
      </c>
      <c r="H17" s="26">
        <v>325.82</v>
      </c>
      <c r="I17" s="27"/>
      <c r="J17" s="9">
        <v>48221.36</v>
      </c>
      <c r="K17" t="s">
        <v>6</v>
      </c>
    </row>
    <row r="18" ht="20.15" customHeight="1" spans="1:11">
      <c r="A18" s="23" t="s">
        <v>60</v>
      </c>
      <c r="B18" s="24"/>
      <c r="C18" s="24"/>
      <c r="D18" s="24"/>
      <c r="E18" s="24"/>
      <c r="F18" s="24"/>
      <c r="G18" s="24"/>
      <c r="H18" s="24"/>
      <c r="I18" s="24"/>
      <c r="J18" s="25"/>
      <c r="K18" t="s">
        <v>349</v>
      </c>
    </row>
    <row r="19" ht="20.15" customHeight="1" spans="1:11">
      <c r="A19" s="23" t="s">
        <v>377</v>
      </c>
      <c r="B19" s="25"/>
      <c r="C19" s="6" t="s">
        <v>378</v>
      </c>
      <c r="D19" s="6" t="s">
        <v>379</v>
      </c>
      <c r="E19" s="6" t="s">
        <v>380</v>
      </c>
      <c r="F19" s="5" t="s">
        <v>43</v>
      </c>
      <c r="G19" s="10">
        <v>8.91</v>
      </c>
      <c r="H19" s="26">
        <v>366.1</v>
      </c>
      <c r="I19" s="27"/>
      <c r="J19" s="9">
        <v>3261.95</v>
      </c>
      <c r="K19" t="s">
        <v>6</v>
      </c>
    </row>
    <row r="20" ht="20.15" customHeight="1" spans="1:11">
      <c r="A20" s="23" t="s">
        <v>381</v>
      </c>
      <c r="B20" s="25"/>
      <c r="C20" s="6" t="s">
        <v>382</v>
      </c>
      <c r="D20" s="6" t="s">
        <v>383</v>
      </c>
      <c r="E20" s="6" t="s">
        <v>384</v>
      </c>
      <c r="F20" s="5" t="s">
        <v>43</v>
      </c>
      <c r="G20" s="10">
        <v>90.562</v>
      </c>
      <c r="H20" s="26">
        <v>526.99</v>
      </c>
      <c r="I20" s="27"/>
      <c r="J20" s="9">
        <v>47725.27</v>
      </c>
      <c r="K20" t="s">
        <v>6</v>
      </c>
    </row>
    <row r="21" ht="27.9" customHeight="1" spans="1:11">
      <c r="A21" s="23" t="s">
        <v>385</v>
      </c>
      <c r="B21" s="25"/>
      <c r="C21" s="6" t="s">
        <v>386</v>
      </c>
      <c r="D21" s="6" t="s">
        <v>387</v>
      </c>
      <c r="E21" s="6" t="s">
        <v>388</v>
      </c>
      <c r="F21" s="5" t="s">
        <v>372</v>
      </c>
      <c r="G21" s="10">
        <v>18.75</v>
      </c>
      <c r="H21" s="26">
        <v>10.08</v>
      </c>
      <c r="I21" s="27"/>
      <c r="J21" s="9">
        <v>189</v>
      </c>
      <c r="K21" t="s">
        <v>6</v>
      </c>
    </row>
    <row r="22" ht="20.15" customHeight="1" spans="1:11">
      <c r="A22" s="23" t="s">
        <v>389</v>
      </c>
      <c r="B22" s="25"/>
      <c r="C22" s="6" t="s">
        <v>390</v>
      </c>
      <c r="D22" s="6" t="s">
        <v>391</v>
      </c>
      <c r="E22" s="6" t="s">
        <v>392</v>
      </c>
      <c r="F22" s="5" t="s">
        <v>43</v>
      </c>
      <c r="G22" s="10">
        <v>1.243</v>
      </c>
      <c r="H22" s="26">
        <v>249.54</v>
      </c>
      <c r="I22" s="27"/>
      <c r="J22" s="9">
        <v>310.18</v>
      </c>
      <c r="K22" t="s">
        <v>6</v>
      </c>
    </row>
    <row r="23" ht="27.9" customHeight="1" spans="1:11">
      <c r="A23" s="23" t="s">
        <v>393</v>
      </c>
      <c r="B23" s="25"/>
      <c r="C23" s="6" t="s">
        <v>394</v>
      </c>
      <c r="D23" s="6" t="s">
        <v>395</v>
      </c>
      <c r="E23" s="6" t="s">
        <v>396</v>
      </c>
      <c r="F23" s="5" t="s">
        <v>98</v>
      </c>
      <c r="G23" s="10">
        <v>14.915</v>
      </c>
      <c r="H23" s="26">
        <v>9.62</v>
      </c>
      <c r="I23" s="27"/>
      <c r="J23" s="9">
        <v>143.48</v>
      </c>
      <c r="K23" t="s">
        <v>6</v>
      </c>
    </row>
    <row r="24" ht="20.15" customHeight="1" spans="1:11">
      <c r="A24" s="23" t="s">
        <v>71</v>
      </c>
      <c r="B24" s="24"/>
      <c r="C24" s="24"/>
      <c r="D24" s="24"/>
      <c r="E24" s="24"/>
      <c r="F24" s="24"/>
      <c r="G24" s="24"/>
      <c r="H24" s="24"/>
      <c r="I24" s="24"/>
      <c r="J24" s="25"/>
      <c r="K24" t="s">
        <v>349</v>
      </c>
    </row>
    <row r="25" ht="39.55" customHeight="1" spans="1:11">
      <c r="A25" s="23" t="s">
        <v>397</v>
      </c>
      <c r="B25" s="25"/>
      <c r="C25" s="6" t="s">
        <v>398</v>
      </c>
      <c r="D25" s="6" t="s">
        <v>399</v>
      </c>
      <c r="E25" s="6" t="s">
        <v>400</v>
      </c>
      <c r="F25" s="5" t="s">
        <v>98</v>
      </c>
      <c r="G25" s="10">
        <v>87.5</v>
      </c>
      <c r="H25" s="26">
        <v>345.92</v>
      </c>
      <c r="I25" s="27"/>
      <c r="J25" s="9">
        <v>30268</v>
      </c>
      <c r="K25" t="s">
        <v>6</v>
      </c>
    </row>
    <row r="26" ht="27.9" customHeight="1" spans="1:11">
      <c r="A26" s="11" t="s">
        <v>338</v>
      </c>
      <c r="B26" s="11"/>
      <c r="C26" s="11"/>
      <c r="D26" s="11"/>
      <c r="E26" s="11"/>
      <c r="F26" s="11"/>
      <c r="G26" s="11"/>
      <c r="H26" s="11"/>
      <c r="I26" s="11"/>
      <c r="J26" s="11"/>
      <c r="K26" s="12" t="s">
        <v>6</v>
      </c>
    </row>
    <row r="27" ht="17.05" customHeight="1" spans="1:11">
      <c r="A27" s="2" t="s">
        <v>6</v>
      </c>
      <c r="B27" s="2"/>
      <c r="C27" s="2"/>
      <c r="D27" s="2"/>
      <c r="E27" s="2"/>
      <c r="F27" s="2"/>
      <c r="G27" s="2"/>
      <c r="H27" s="2"/>
      <c r="I27" s="2"/>
      <c r="J27" s="2"/>
      <c r="K27" s="12" t="s">
        <v>6</v>
      </c>
    </row>
    <row r="28" ht="17.05" customHeight="1" spans="1:11">
      <c r="A28" s="3" t="s">
        <v>21</v>
      </c>
      <c r="B28" s="3"/>
      <c r="C28" s="3"/>
      <c r="D28" s="3"/>
      <c r="E28" s="3"/>
      <c r="F28" s="3"/>
      <c r="G28" s="3"/>
      <c r="H28" s="3"/>
      <c r="I28" s="2" t="s">
        <v>337</v>
      </c>
      <c r="J28" s="2"/>
      <c r="K28" s="12" t="s">
        <v>6</v>
      </c>
    </row>
    <row r="29" ht="17.05" customHeight="1" spans="1:11">
      <c r="A29" s="13" t="s">
        <v>25</v>
      </c>
      <c r="B29" s="14"/>
      <c r="C29" s="15" t="s">
        <v>339</v>
      </c>
      <c r="D29" s="15" t="s">
        <v>340</v>
      </c>
      <c r="E29" s="15" t="s">
        <v>341</v>
      </c>
      <c r="F29" s="15" t="s">
        <v>342</v>
      </c>
      <c r="G29" s="15" t="s">
        <v>343</v>
      </c>
      <c r="H29" s="16" t="s">
        <v>344</v>
      </c>
      <c r="I29" s="17"/>
      <c r="J29" s="18"/>
      <c r="K29" s="19" t="s">
        <v>6</v>
      </c>
    </row>
    <row r="30" ht="17.05" customHeight="1" spans="1:11">
      <c r="A30" s="20"/>
      <c r="B30" s="21"/>
      <c r="C30" s="22"/>
      <c r="D30" s="22"/>
      <c r="E30" s="22"/>
      <c r="F30" s="22"/>
      <c r="G30" s="22"/>
      <c r="H30" s="16" t="s">
        <v>345</v>
      </c>
      <c r="I30" s="18"/>
      <c r="J30" s="4" t="s">
        <v>346</v>
      </c>
      <c r="K30" s="19" t="s">
        <v>6</v>
      </c>
    </row>
    <row r="31" ht="86.05" customHeight="1" spans="1:11">
      <c r="A31" s="23" t="s">
        <v>6</v>
      </c>
      <c r="B31" s="25"/>
      <c r="C31" s="6" t="s">
        <v>6</v>
      </c>
      <c r="D31" s="6" t="s">
        <v>6</v>
      </c>
      <c r="E31" s="6" t="s">
        <v>401</v>
      </c>
      <c r="F31" s="5" t="s">
        <v>6</v>
      </c>
      <c r="G31" s="8"/>
      <c r="H31" s="32"/>
      <c r="I31" s="33"/>
      <c r="J31" s="8"/>
      <c r="K31" t="s">
        <v>6</v>
      </c>
    </row>
    <row r="32" ht="27.9" customHeight="1" spans="1:11">
      <c r="A32" s="23" t="s">
        <v>402</v>
      </c>
      <c r="B32" s="25"/>
      <c r="C32" s="6" t="s">
        <v>403</v>
      </c>
      <c r="D32" s="6" t="s">
        <v>404</v>
      </c>
      <c r="E32" s="6" t="s">
        <v>405</v>
      </c>
      <c r="F32" s="5" t="s">
        <v>98</v>
      </c>
      <c r="G32" s="10">
        <v>7.2</v>
      </c>
      <c r="H32" s="26">
        <v>200.1</v>
      </c>
      <c r="I32" s="27"/>
      <c r="J32" s="9">
        <v>1440.72</v>
      </c>
      <c r="K32" t="s">
        <v>6</v>
      </c>
    </row>
    <row r="33" ht="51.15" customHeight="1" spans="1:11">
      <c r="A33" s="23" t="s">
        <v>406</v>
      </c>
      <c r="B33" s="25"/>
      <c r="C33" s="6" t="s">
        <v>407</v>
      </c>
      <c r="D33" s="6" t="s">
        <v>408</v>
      </c>
      <c r="E33" s="6" t="s">
        <v>409</v>
      </c>
      <c r="F33" s="5" t="s">
        <v>372</v>
      </c>
      <c r="G33" s="10">
        <v>148</v>
      </c>
      <c r="H33" s="26">
        <v>68.99</v>
      </c>
      <c r="I33" s="27"/>
      <c r="J33" s="9">
        <v>10210.52</v>
      </c>
      <c r="K33" t="s">
        <v>6</v>
      </c>
    </row>
    <row r="34" ht="27.9" customHeight="1" spans="1:11">
      <c r="A34" s="23" t="s">
        <v>410</v>
      </c>
      <c r="B34" s="25"/>
      <c r="C34" s="6" t="s">
        <v>411</v>
      </c>
      <c r="D34" s="6" t="s">
        <v>399</v>
      </c>
      <c r="E34" s="6" t="s">
        <v>412</v>
      </c>
      <c r="F34" s="5" t="s">
        <v>98</v>
      </c>
      <c r="G34" s="10">
        <v>873.09</v>
      </c>
      <c r="H34" s="26">
        <v>109.77</v>
      </c>
      <c r="I34" s="27"/>
      <c r="J34" s="9">
        <v>95839.09</v>
      </c>
      <c r="K34" t="s">
        <v>6</v>
      </c>
    </row>
    <row r="35" ht="20.15" customHeight="1" spans="1:11">
      <c r="A35" s="23" t="s">
        <v>413</v>
      </c>
      <c r="B35" s="25"/>
      <c r="C35" s="6" t="s">
        <v>414</v>
      </c>
      <c r="D35" s="6" t="s">
        <v>415</v>
      </c>
      <c r="E35" s="6" t="s">
        <v>416</v>
      </c>
      <c r="F35" s="5" t="s">
        <v>43</v>
      </c>
      <c r="G35" s="10">
        <v>43.655</v>
      </c>
      <c r="H35" s="26">
        <v>423.82</v>
      </c>
      <c r="I35" s="27"/>
      <c r="J35" s="9">
        <v>18501.86</v>
      </c>
      <c r="K35" t="s">
        <v>6</v>
      </c>
    </row>
    <row r="36" ht="27.9" customHeight="1" spans="1:11">
      <c r="A36" s="23" t="s">
        <v>417</v>
      </c>
      <c r="B36" s="25"/>
      <c r="C36" s="6" t="s">
        <v>418</v>
      </c>
      <c r="D36" s="6" t="s">
        <v>419</v>
      </c>
      <c r="E36" s="6" t="s">
        <v>420</v>
      </c>
      <c r="F36" s="5" t="s">
        <v>98</v>
      </c>
      <c r="G36" s="10">
        <v>873.09</v>
      </c>
      <c r="H36" s="26">
        <v>77.78</v>
      </c>
      <c r="I36" s="27"/>
      <c r="J36" s="9">
        <v>67908.94</v>
      </c>
      <c r="K36" t="s">
        <v>6</v>
      </c>
    </row>
    <row r="37" ht="39.55" customHeight="1" spans="1:11">
      <c r="A37" s="23" t="s">
        <v>421</v>
      </c>
      <c r="B37" s="25"/>
      <c r="C37" s="6" t="s">
        <v>422</v>
      </c>
      <c r="D37" s="6" t="s">
        <v>423</v>
      </c>
      <c r="E37" s="6" t="s">
        <v>424</v>
      </c>
      <c r="F37" s="5" t="s">
        <v>425</v>
      </c>
      <c r="G37" s="10">
        <v>68.538</v>
      </c>
      <c r="H37" s="26">
        <v>11083.97</v>
      </c>
      <c r="I37" s="27"/>
      <c r="J37" s="9">
        <v>759673.14</v>
      </c>
      <c r="K37" t="s">
        <v>6</v>
      </c>
    </row>
    <row r="38" ht="51.15" customHeight="1" spans="1:11">
      <c r="A38" s="23" t="s">
        <v>426</v>
      </c>
      <c r="B38" s="25"/>
      <c r="C38" s="6" t="s">
        <v>427</v>
      </c>
      <c r="D38" s="6" t="s">
        <v>428</v>
      </c>
      <c r="E38" s="6" t="s">
        <v>429</v>
      </c>
      <c r="F38" s="5" t="s">
        <v>425</v>
      </c>
      <c r="G38" s="10">
        <v>54.358</v>
      </c>
      <c r="H38" s="26">
        <v>10419.55</v>
      </c>
      <c r="I38" s="27"/>
      <c r="J38" s="9">
        <v>566385.9</v>
      </c>
      <c r="K38" t="s">
        <v>6</v>
      </c>
    </row>
    <row r="39" ht="27.9" customHeight="1" spans="1:11">
      <c r="A39" s="23" t="s">
        <v>430</v>
      </c>
      <c r="B39" s="25"/>
      <c r="C39" s="6" t="s">
        <v>431</v>
      </c>
      <c r="D39" s="6" t="s">
        <v>432</v>
      </c>
      <c r="E39" s="6" t="s">
        <v>433</v>
      </c>
      <c r="F39" s="5" t="s">
        <v>425</v>
      </c>
      <c r="G39" s="10">
        <v>0.409</v>
      </c>
      <c r="H39" s="26">
        <v>5176.9</v>
      </c>
      <c r="I39" s="27"/>
      <c r="J39" s="9">
        <v>2117.35</v>
      </c>
      <c r="K39" t="s">
        <v>6</v>
      </c>
    </row>
    <row r="40" ht="27.9" customHeight="1" spans="1:11">
      <c r="A40" s="23" t="s">
        <v>434</v>
      </c>
      <c r="B40" s="25"/>
      <c r="C40" s="6" t="s">
        <v>435</v>
      </c>
      <c r="D40" s="6" t="s">
        <v>436</v>
      </c>
      <c r="E40" s="6" t="s">
        <v>437</v>
      </c>
      <c r="F40" s="5" t="s">
        <v>425</v>
      </c>
      <c r="G40" s="10">
        <v>1.555</v>
      </c>
      <c r="H40" s="26">
        <v>10045.6</v>
      </c>
      <c r="I40" s="27"/>
      <c r="J40" s="9">
        <v>15620.91</v>
      </c>
      <c r="K40" t="s">
        <v>6</v>
      </c>
    </row>
    <row r="41" ht="20.15" customHeight="1" spans="1:11">
      <c r="A41" s="23" t="s">
        <v>438</v>
      </c>
      <c r="B41" s="25"/>
      <c r="C41" s="6" t="s">
        <v>439</v>
      </c>
      <c r="D41" s="6" t="s">
        <v>440</v>
      </c>
      <c r="E41" s="6" t="s">
        <v>441</v>
      </c>
      <c r="F41" s="5" t="s">
        <v>43</v>
      </c>
      <c r="G41" s="10">
        <v>2.971</v>
      </c>
      <c r="H41" s="26">
        <v>964.9</v>
      </c>
      <c r="I41" s="27"/>
      <c r="J41" s="9">
        <v>2866.72</v>
      </c>
      <c r="K41" t="s">
        <v>6</v>
      </c>
    </row>
    <row r="42" ht="20.15" customHeight="1" spans="1:11">
      <c r="A42" s="23" t="s">
        <v>96</v>
      </c>
      <c r="B42" s="24"/>
      <c r="C42" s="24"/>
      <c r="D42" s="24"/>
      <c r="E42" s="24"/>
      <c r="F42" s="24"/>
      <c r="G42" s="24"/>
      <c r="H42" s="24"/>
      <c r="I42" s="24"/>
      <c r="J42" s="25"/>
      <c r="K42" t="s">
        <v>442</v>
      </c>
    </row>
    <row r="43" ht="20.15" customHeight="1" spans="1:11">
      <c r="A43" s="23" t="s">
        <v>97</v>
      </c>
      <c r="B43" s="24"/>
      <c r="C43" s="24"/>
      <c r="D43" s="24"/>
      <c r="E43" s="24"/>
      <c r="F43" s="24"/>
      <c r="G43" s="24"/>
      <c r="H43" s="24"/>
      <c r="I43" s="24"/>
      <c r="J43" s="25"/>
      <c r="K43" t="s">
        <v>443</v>
      </c>
    </row>
    <row r="44" ht="20.15" customHeight="1" spans="1:11">
      <c r="A44" s="23" t="s">
        <v>444</v>
      </c>
      <c r="B44" s="25"/>
      <c r="C44" s="6" t="s">
        <v>445</v>
      </c>
      <c r="D44" s="6" t="s">
        <v>446</v>
      </c>
      <c r="E44" s="6" t="s">
        <v>447</v>
      </c>
      <c r="F44" s="5" t="s">
        <v>98</v>
      </c>
      <c r="G44" s="10">
        <v>126.9</v>
      </c>
      <c r="H44" s="26">
        <v>5.43</v>
      </c>
      <c r="I44" s="27"/>
      <c r="J44" s="9">
        <v>689.07</v>
      </c>
      <c r="K44" t="s">
        <v>6</v>
      </c>
    </row>
    <row r="45" ht="74.4" customHeight="1" spans="1:11">
      <c r="A45" s="23" t="s">
        <v>448</v>
      </c>
      <c r="B45" s="25"/>
      <c r="C45" s="6" t="s">
        <v>449</v>
      </c>
      <c r="D45" s="6" t="s">
        <v>450</v>
      </c>
      <c r="E45" s="6" t="s">
        <v>451</v>
      </c>
      <c r="F45" s="5" t="s">
        <v>452</v>
      </c>
      <c r="G45" s="10">
        <v>4</v>
      </c>
      <c r="H45" s="26">
        <v>281.76</v>
      </c>
      <c r="I45" s="27"/>
      <c r="J45" s="9">
        <v>1127.04</v>
      </c>
      <c r="K45" t="s">
        <v>6</v>
      </c>
    </row>
    <row r="46" ht="62.8" customHeight="1" spans="1:11">
      <c r="A46" s="23" t="s">
        <v>453</v>
      </c>
      <c r="B46" s="25"/>
      <c r="C46" s="6" t="s">
        <v>454</v>
      </c>
      <c r="D46" s="6" t="s">
        <v>455</v>
      </c>
      <c r="E46" s="6" t="s">
        <v>456</v>
      </c>
      <c r="F46" s="5" t="s">
        <v>98</v>
      </c>
      <c r="G46" s="10">
        <v>217.5</v>
      </c>
      <c r="H46" s="26">
        <v>30.37</v>
      </c>
      <c r="I46" s="27"/>
      <c r="J46" s="9">
        <v>6605.48</v>
      </c>
      <c r="K46" t="s">
        <v>6</v>
      </c>
    </row>
    <row r="47" ht="16.3" customHeight="1" spans="1:11">
      <c r="A47" s="23" t="s">
        <v>308</v>
      </c>
      <c r="B47" s="24"/>
      <c r="C47" s="24"/>
      <c r="D47" s="24"/>
      <c r="E47" s="24"/>
      <c r="F47" s="24"/>
      <c r="G47" s="24"/>
      <c r="H47" s="24"/>
      <c r="I47" s="25"/>
      <c r="J47" s="9">
        <v>1948415.04</v>
      </c>
      <c r="K47" s="19" t="s">
        <v>6</v>
      </c>
    </row>
  </sheetData>
  <mergeCells count="89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J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J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J24"/>
    <mergeCell ref="A25:B25"/>
    <mergeCell ref="H25:I25"/>
    <mergeCell ref="A26:J26"/>
    <mergeCell ref="A27:J27"/>
    <mergeCell ref="A28:H28"/>
    <mergeCell ref="I28:J28"/>
    <mergeCell ref="H29:J29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J42"/>
    <mergeCell ref="A43:J43"/>
    <mergeCell ref="A44:B44"/>
    <mergeCell ref="H44:I44"/>
    <mergeCell ref="A45:B45"/>
    <mergeCell ref="H45:I45"/>
    <mergeCell ref="A46:B46"/>
    <mergeCell ref="H46:I46"/>
    <mergeCell ref="A47:I47"/>
    <mergeCell ref="C4:C5"/>
    <mergeCell ref="C29:C30"/>
    <mergeCell ref="D4:D5"/>
    <mergeCell ref="D29:D30"/>
    <mergeCell ref="E4:E5"/>
    <mergeCell ref="E29:E30"/>
    <mergeCell ref="F4:F5"/>
    <mergeCell ref="F29:F30"/>
    <mergeCell ref="G4:G5"/>
    <mergeCell ref="G29:G30"/>
    <mergeCell ref="A4:B5"/>
    <mergeCell ref="A29:B30"/>
  </mergeCells>
  <pageMargins left="0.590551181102362" right="0" top="0.393700787401575" bottom="0" header="0" footer="0"/>
  <pageSetup paperSize="9" orientation="portrait"/>
  <headerFooter/>
  <rowBreaks count="1" manualBreakCount="1">
    <brk id="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E22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28" t="s">
        <v>457</v>
      </c>
      <c r="B1" s="28"/>
      <c r="C1" s="28"/>
      <c r="D1" s="28"/>
      <c r="E1" s="28"/>
    </row>
    <row r="2" ht="17.85" customHeight="1" spans="1:5">
      <c r="A2" s="2" t="s">
        <v>6</v>
      </c>
      <c r="B2" s="2"/>
      <c r="C2" s="2"/>
      <c r="D2" s="2"/>
      <c r="E2" s="2"/>
    </row>
    <row r="3" ht="17.05" customHeight="1" spans="1:5">
      <c r="A3" s="3" t="s">
        <v>21</v>
      </c>
      <c r="B3" s="3"/>
      <c r="C3" s="3"/>
      <c r="D3" s="3"/>
      <c r="E3" s="2" t="s">
        <v>293</v>
      </c>
    </row>
    <row r="4" ht="29.45" customHeight="1" spans="1:5">
      <c r="A4" s="4" t="s">
        <v>25</v>
      </c>
      <c r="B4" s="4" t="s">
        <v>458</v>
      </c>
      <c r="C4" s="4" t="s">
        <v>459</v>
      </c>
      <c r="D4" s="4" t="s">
        <v>460</v>
      </c>
      <c r="E4" s="4" t="s">
        <v>344</v>
      </c>
    </row>
    <row r="5" ht="17.05" customHeight="1" spans="1:5">
      <c r="A5" s="16" t="s">
        <v>300</v>
      </c>
      <c r="B5" s="17"/>
      <c r="C5" s="17"/>
      <c r="D5" s="17"/>
      <c r="E5" s="18"/>
    </row>
    <row r="6" ht="17.05" customHeight="1" spans="1:5">
      <c r="A6" s="16" t="s">
        <v>41</v>
      </c>
      <c r="B6" s="17"/>
      <c r="C6" s="17"/>
      <c r="D6" s="17"/>
      <c r="E6" s="18"/>
    </row>
    <row r="7" ht="17.05" customHeight="1" spans="1:5">
      <c r="A7" s="4" t="s">
        <v>299</v>
      </c>
      <c r="B7" s="29" t="s">
        <v>322</v>
      </c>
      <c r="C7" s="30">
        <v>1942025</v>
      </c>
      <c r="D7" s="31" t="s">
        <v>461</v>
      </c>
      <c r="E7" s="30">
        <v>41172</v>
      </c>
    </row>
    <row r="8" ht="17.05" customHeight="1" spans="1:5">
      <c r="A8" s="4" t="s">
        <v>315</v>
      </c>
      <c r="B8" s="29" t="s">
        <v>42</v>
      </c>
      <c r="C8" s="30">
        <v>11205</v>
      </c>
      <c r="D8" s="31" t="s">
        <v>462</v>
      </c>
      <c r="E8" s="30">
        <v>238</v>
      </c>
    </row>
    <row r="9" ht="17.05" customHeight="1" spans="1:5">
      <c r="A9" s="4" t="s">
        <v>316</v>
      </c>
      <c r="B9" s="29" t="s">
        <v>50</v>
      </c>
      <c r="C9" s="30">
        <v>308357</v>
      </c>
      <c r="D9" s="31" t="s">
        <v>462</v>
      </c>
      <c r="E9" s="30">
        <v>6537</v>
      </c>
    </row>
    <row r="10" ht="17.05" customHeight="1" spans="1:5">
      <c r="A10" s="4" t="s">
        <v>317</v>
      </c>
      <c r="B10" s="29" t="s">
        <v>60</v>
      </c>
      <c r="C10" s="30">
        <v>51630</v>
      </c>
      <c r="D10" s="31" t="s">
        <v>462</v>
      </c>
      <c r="E10" s="30">
        <v>1095</v>
      </c>
    </row>
    <row r="11" ht="17.05" customHeight="1" spans="1:5">
      <c r="A11" s="4" t="s">
        <v>318</v>
      </c>
      <c r="B11" s="29" t="s">
        <v>71</v>
      </c>
      <c r="C11" s="30">
        <v>1570833</v>
      </c>
      <c r="D11" s="31" t="s">
        <v>462</v>
      </c>
      <c r="E11" s="30">
        <v>33302</v>
      </c>
    </row>
    <row r="12" ht="17.05" customHeight="1" spans="1:5">
      <c r="A12" s="4" t="s">
        <v>307</v>
      </c>
      <c r="B12" s="29" t="s">
        <v>324</v>
      </c>
      <c r="C12" s="30">
        <v>1942025</v>
      </c>
      <c r="D12" s="31" t="s">
        <v>461</v>
      </c>
      <c r="E12" s="30">
        <v>9516</v>
      </c>
    </row>
    <row r="13" ht="17.05" customHeight="1" spans="1:5">
      <c r="A13" s="4" t="s">
        <v>319</v>
      </c>
      <c r="B13" s="29" t="s">
        <v>42</v>
      </c>
      <c r="C13" s="30">
        <v>11205</v>
      </c>
      <c r="D13" s="31" t="s">
        <v>463</v>
      </c>
      <c r="E13" s="30">
        <v>55</v>
      </c>
    </row>
    <row r="14" ht="17.05" customHeight="1" spans="1:5">
      <c r="A14" s="4" t="s">
        <v>325</v>
      </c>
      <c r="B14" s="29" t="s">
        <v>50</v>
      </c>
      <c r="C14" s="30">
        <v>308357</v>
      </c>
      <c r="D14" s="31" t="s">
        <v>463</v>
      </c>
      <c r="E14" s="30">
        <v>1511</v>
      </c>
    </row>
    <row r="15" ht="17.05" customHeight="1" spans="1:5">
      <c r="A15" s="4" t="s">
        <v>464</v>
      </c>
      <c r="B15" s="29" t="s">
        <v>60</v>
      </c>
      <c r="C15" s="30">
        <v>51630</v>
      </c>
      <c r="D15" s="31" t="s">
        <v>463</v>
      </c>
      <c r="E15" s="30">
        <v>253</v>
      </c>
    </row>
    <row r="16" ht="17.05" customHeight="1" spans="1:5">
      <c r="A16" s="4" t="s">
        <v>465</v>
      </c>
      <c r="B16" s="29" t="s">
        <v>71</v>
      </c>
      <c r="C16" s="30">
        <v>1570833</v>
      </c>
      <c r="D16" s="31" t="s">
        <v>463</v>
      </c>
      <c r="E16" s="30">
        <v>7697</v>
      </c>
    </row>
    <row r="17" ht="17.05" customHeight="1" spans="1:5">
      <c r="A17" s="16" t="s">
        <v>96</v>
      </c>
      <c r="B17" s="17"/>
      <c r="C17" s="17"/>
      <c r="D17" s="17"/>
      <c r="E17" s="18"/>
    </row>
    <row r="18" ht="17.05" customHeight="1" spans="1:5">
      <c r="A18" s="4" t="s">
        <v>299</v>
      </c>
      <c r="B18" s="29" t="s">
        <v>322</v>
      </c>
      <c r="C18" s="30">
        <v>8422</v>
      </c>
      <c r="D18" s="31" t="s">
        <v>461</v>
      </c>
      <c r="E18" s="30">
        <v>250</v>
      </c>
    </row>
    <row r="19" ht="17.05" customHeight="1" spans="1:5">
      <c r="A19" s="4" t="s">
        <v>315</v>
      </c>
      <c r="B19" s="29" t="s">
        <v>97</v>
      </c>
      <c r="C19" s="30">
        <v>8422</v>
      </c>
      <c r="D19" s="31" t="s">
        <v>466</v>
      </c>
      <c r="E19" s="30">
        <v>250</v>
      </c>
    </row>
    <row r="20" ht="17.05" customHeight="1" spans="1:5">
      <c r="A20" s="4" t="s">
        <v>307</v>
      </c>
      <c r="B20" s="29" t="s">
        <v>324</v>
      </c>
      <c r="C20" s="30">
        <v>8422</v>
      </c>
      <c r="D20" s="31" t="s">
        <v>461</v>
      </c>
      <c r="E20" s="30">
        <v>41</v>
      </c>
    </row>
    <row r="21" ht="17.05" customHeight="1" spans="1:5">
      <c r="A21" s="4" t="s">
        <v>319</v>
      </c>
      <c r="B21" s="29" t="s">
        <v>97</v>
      </c>
      <c r="C21" s="30">
        <v>8422</v>
      </c>
      <c r="D21" s="31" t="s">
        <v>463</v>
      </c>
      <c r="E21" s="30">
        <v>41</v>
      </c>
    </row>
    <row r="22" ht="17.05" customHeight="1" spans="1:5">
      <c r="A22" s="16" t="s">
        <v>467</v>
      </c>
      <c r="B22" s="17"/>
      <c r="C22" s="17"/>
      <c r="D22" s="18"/>
      <c r="E22" s="30">
        <v>50979</v>
      </c>
    </row>
  </sheetData>
  <mergeCells count="7">
    <mergeCell ref="A1:E1"/>
    <mergeCell ref="A2:E2"/>
    <mergeCell ref="A3:D3"/>
    <mergeCell ref="A5:E5"/>
    <mergeCell ref="A6:E6"/>
    <mergeCell ref="A17:E17"/>
    <mergeCell ref="A22:D22"/>
  </mergeCells>
  <pageMargins left="0.393700787401575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K15"/>
  <sheetViews>
    <sheetView workbookViewId="0">
      <selection activeCell="C32" sqref="C32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1" t="s">
        <v>468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293</v>
      </c>
      <c r="J3" s="2"/>
      <c r="K3" s="12" t="s">
        <v>6</v>
      </c>
    </row>
    <row r="4" ht="17.05" customHeight="1" spans="1:11">
      <c r="A4" s="13" t="s">
        <v>25</v>
      </c>
      <c r="B4" s="14"/>
      <c r="C4" s="15" t="s">
        <v>339</v>
      </c>
      <c r="D4" s="15" t="s">
        <v>340</v>
      </c>
      <c r="E4" s="15" t="s">
        <v>341</v>
      </c>
      <c r="F4" s="15" t="s">
        <v>342</v>
      </c>
      <c r="G4" s="15" t="s">
        <v>343</v>
      </c>
      <c r="H4" s="16" t="s">
        <v>344</v>
      </c>
      <c r="I4" s="17"/>
      <c r="J4" s="18"/>
      <c r="K4" s="19" t="s">
        <v>6</v>
      </c>
    </row>
    <row r="5" ht="17.05" customHeight="1" spans="1:11">
      <c r="A5" s="20"/>
      <c r="B5" s="21"/>
      <c r="C5" s="22"/>
      <c r="D5" s="22"/>
      <c r="E5" s="22"/>
      <c r="F5" s="22"/>
      <c r="G5" s="22"/>
      <c r="H5" s="16" t="s">
        <v>345</v>
      </c>
      <c r="I5" s="18"/>
      <c r="J5" s="4" t="s">
        <v>346</v>
      </c>
      <c r="K5" s="19" t="s">
        <v>6</v>
      </c>
    </row>
    <row r="6" ht="16.3" customHeight="1" spans="1:11">
      <c r="A6" s="23" t="s">
        <v>300</v>
      </c>
      <c r="B6" s="24"/>
      <c r="C6" s="24"/>
      <c r="D6" s="24"/>
      <c r="E6" s="24"/>
      <c r="F6" s="24"/>
      <c r="G6" s="24"/>
      <c r="H6" s="24"/>
      <c r="I6" s="24"/>
      <c r="J6" s="25"/>
      <c r="K6" t="s">
        <v>347</v>
      </c>
    </row>
    <row r="7" ht="16.3" customHeight="1" spans="1:11">
      <c r="A7" s="23" t="s">
        <v>41</v>
      </c>
      <c r="B7" s="24"/>
      <c r="C7" s="24"/>
      <c r="D7" s="24"/>
      <c r="E7" s="24"/>
      <c r="F7" s="24"/>
      <c r="G7" s="24"/>
      <c r="H7" s="24"/>
      <c r="I7" s="24"/>
      <c r="J7" s="25"/>
      <c r="K7" t="s">
        <v>348</v>
      </c>
    </row>
    <row r="8" ht="16.3" customHeight="1" spans="1:11">
      <c r="A8" s="23" t="s">
        <v>42</v>
      </c>
      <c r="B8" s="24"/>
      <c r="C8" s="24"/>
      <c r="D8" s="24"/>
      <c r="E8" s="24"/>
      <c r="F8" s="24"/>
      <c r="G8" s="24"/>
      <c r="H8" s="24"/>
      <c r="I8" s="24"/>
      <c r="J8" s="25"/>
      <c r="K8" t="s">
        <v>349</v>
      </c>
    </row>
    <row r="9" ht="16.3" customHeight="1" spans="1:11">
      <c r="A9" s="23" t="s">
        <v>299</v>
      </c>
      <c r="B9" s="25"/>
      <c r="C9" s="6" t="s">
        <v>469</v>
      </c>
      <c r="D9" s="6" t="s">
        <v>470</v>
      </c>
      <c r="E9" s="6" t="s">
        <v>6</v>
      </c>
      <c r="F9" s="5" t="s">
        <v>22</v>
      </c>
      <c r="G9" s="10">
        <v>1</v>
      </c>
      <c r="H9" s="26">
        <v>2031.12</v>
      </c>
      <c r="I9" s="27"/>
      <c r="J9" s="9">
        <v>2031.12</v>
      </c>
      <c r="K9" t="s">
        <v>6</v>
      </c>
    </row>
    <row r="10" ht="16.3" customHeight="1" spans="1:11">
      <c r="A10" s="23" t="s">
        <v>50</v>
      </c>
      <c r="B10" s="24"/>
      <c r="C10" s="24"/>
      <c r="D10" s="24"/>
      <c r="E10" s="24"/>
      <c r="F10" s="24"/>
      <c r="G10" s="24"/>
      <c r="H10" s="24"/>
      <c r="I10" s="24"/>
      <c r="J10" s="25"/>
      <c r="K10" t="s">
        <v>349</v>
      </c>
    </row>
    <row r="11" ht="16.3" customHeight="1" spans="1:11">
      <c r="A11" s="23" t="s">
        <v>60</v>
      </c>
      <c r="B11" s="24"/>
      <c r="C11" s="24"/>
      <c r="D11" s="24"/>
      <c r="E11" s="24"/>
      <c r="F11" s="24"/>
      <c r="G11" s="24"/>
      <c r="H11" s="24"/>
      <c r="I11" s="24"/>
      <c r="J11" s="25"/>
      <c r="K11" t="s">
        <v>349</v>
      </c>
    </row>
    <row r="12" ht="16.3" customHeight="1" spans="1:11">
      <c r="A12" s="23" t="s">
        <v>71</v>
      </c>
      <c r="B12" s="24"/>
      <c r="C12" s="24"/>
      <c r="D12" s="24"/>
      <c r="E12" s="24"/>
      <c r="F12" s="24"/>
      <c r="G12" s="24"/>
      <c r="H12" s="24"/>
      <c r="I12" s="24"/>
      <c r="J12" s="25"/>
      <c r="K12" t="s">
        <v>349</v>
      </c>
    </row>
    <row r="13" ht="16.3" customHeight="1" spans="1:11">
      <c r="A13" s="23" t="s">
        <v>96</v>
      </c>
      <c r="B13" s="24"/>
      <c r="C13" s="24"/>
      <c r="D13" s="24"/>
      <c r="E13" s="24"/>
      <c r="F13" s="24"/>
      <c r="G13" s="24"/>
      <c r="H13" s="24"/>
      <c r="I13" s="24"/>
      <c r="J13" s="25"/>
      <c r="K13" t="s">
        <v>442</v>
      </c>
    </row>
    <row r="14" ht="16.3" customHeight="1" spans="1:11">
      <c r="A14" s="23" t="s">
        <v>97</v>
      </c>
      <c r="B14" s="24"/>
      <c r="C14" s="24"/>
      <c r="D14" s="24"/>
      <c r="E14" s="24"/>
      <c r="F14" s="24"/>
      <c r="G14" s="24"/>
      <c r="H14" s="24"/>
      <c r="I14" s="24"/>
      <c r="J14" s="25"/>
      <c r="K14" t="s">
        <v>443</v>
      </c>
    </row>
    <row r="15" ht="17.05" customHeight="1" spans="1:11">
      <c r="A15" s="16" t="s">
        <v>471</v>
      </c>
      <c r="B15" s="17"/>
      <c r="C15" s="17"/>
      <c r="D15" s="17"/>
      <c r="E15" s="17"/>
      <c r="F15" s="17"/>
      <c r="G15" s="17"/>
      <c r="H15" s="17"/>
      <c r="I15" s="18"/>
      <c r="J15" s="9">
        <v>2031.12</v>
      </c>
      <c r="K15" s="19" t="s">
        <v>6</v>
      </c>
    </row>
  </sheetData>
  <mergeCells count="23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J11"/>
    <mergeCell ref="A12:J12"/>
    <mergeCell ref="A13:J13"/>
    <mergeCell ref="A14:J14"/>
    <mergeCell ref="A15:I15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H157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472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6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21</v>
      </c>
      <c r="B3" s="3"/>
      <c r="C3" s="3"/>
      <c r="D3" s="3"/>
      <c r="E3" s="3"/>
      <c r="F3" s="3"/>
      <c r="G3" s="2" t="s">
        <v>473</v>
      </c>
      <c r="H3" s="2"/>
    </row>
    <row r="4" ht="31" customHeight="1" spans="1:8">
      <c r="A4" s="4" t="s">
        <v>25</v>
      </c>
      <c r="B4" s="4" t="s">
        <v>474</v>
      </c>
      <c r="C4" s="4" t="s">
        <v>475</v>
      </c>
      <c r="D4" s="4" t="s">
        <v>476</v>
      </c>
      <c r="E4" s="4" t="s">
        <v>477</v>
      </c>
      <c r="F4" s="5" t="s">
        <v>478</v>
      </c>
      <c r="G4" s="4" t="s">
        <v>479</v>
      </c>
      <c r="H4" s="5" t="s">
        <v>346</v>
      </c>
    </row>
    <row r="5" ht="16.3" customHeight="1" spans="1:8">
      <c r="A5" s="5" t="s">
        <v>38</v>
      </c>
      <c r="B5" s="6" t="s">
        <v>6</v>
      </c>
      <c r="C5" s="5" t="s">
        <v>480</v>
      </c>
      <c r="D5" s="6" t="s">
        <v>6</v>
      </c>
      <c r="E5" s="5" t="s">
        <v>6</v>
      </c>
      <c r="F5" s="7" t="s">
        <v>6</v>
      </c>
      <c r="G5" s="7" t="s">
        <v>6</v>
      </c>
      <c r="H5" s="8">
        <v>0</v>
      </c>
    </row>
    <row r="6" ht="16.3" customHeight="1" spans="1:8">
      <c r="A6" s="5" t="s">
        <v>299</v>
      </c>
      <c r="B6" s="6" t="s">
        <v>481</v>
      </c>
      <c r="C6" s="6" t="s">
        <v>482</v>
      </c>
      <c r="D6" s="6" t="s">
        <v>6</v>
      </c>
      <c r="E6" s="5" t="s">
        <v>10</v>
      </c>
      <c r="F6" s="7" t="s">
        <v>6</v>
      </c>
      <c r="G6" s="7" t="s">
        <v>6</v>
      </c>
      <c r="H6" s="9">
        <v>423756.73</v>
      </c>
    </row>
    <row r="7" ht="16.3" customHeight="1" spans="1:8">
      <c r="A7" s="5" t="s">
        <v>102</v>
      </c>
      <c r="B7" s="6" t="s">
        <v>6</v>
      </c>
      <c r="C7" s="5" t="s">
        <v>483</v>
      </c>
      <c r="D7" s="6" t="s">
        <v>6</v>
      </c>
      <c r="E7" s="5" t="s">
        <v>6</v>
      </c>
      <c r="F7" s="7" t="s">
        <v>6</v>
      </c>
      <c r="G7" s="7" t="s">
        <v>6</v>
      </c>
      <c r="H7" s="7" t="s">
        <v>6</v>
      </c>
    </row>
    <row r="8" ht="16.3" customHeight="1" spans="1:8">
      <c r="A8" s="5" t="s">
        <v>299</v>
      </c>
      <c r="B8" s="6" t="s">
        <v>484</v>
      </c>
      <c r="C8" s="6" t="s">
        <v>485</v>
      </c>
      <c r="D8" s="6" t="s">
        <v>486</v>
      </c>
      <c r="E8" s="5" t="s">
        <v>425</v>
      </c>
      <c r="F8" s="10">
        <v>23.048</v>
      </c>
      <c r="G8" s="10">
        <v>3051.23</v>
      </c>
      <c r="H8" s="9">
        <v>70324.11</v>
      </c>
    </row>
    <row r="9" ht="16.3" customHeight="1" spans="1:8">
      <c r="A9" s="5" t="s">
        <v>307</v>
      </c>
      <c r="B9" s="6" t="s">
        <v>487</v>
      </c>
      <c r="C9" s="6" t="s">
        <v>488</v>
      </c>
      <c r="D9" s="6" t="s">
        <v>489</v>
      </c>
      <c r="E9" s="5" t="s">
        <v>425</v>
      </c>
      <c r="F9" s="10">
        <v>0.425</v>
      </c>
      <c r="G9" s="10">
        <v>3276.11</v>
      </c>
      <c r="H9" s="9">
        <v>1393.53</v>
      </c>
    </row>
    <row r="10" ht="16.3" customHeight="1" spans="1:8">
      <c r="A10" s="5" t="s">
        <v>327</v>
      </c>
      <c r="B10" s="6" t="s">
        <v>490</v>
      </c>
      <c r="C10" s="6" t="s">
        <v>491</v>
      </c>
      <c r="D10" s="6" t="s">
        <v>492</v>
      </c>
      <c r="E10" s="5" t="s">
        <v>493</v>
      </c>
      <c r="F10" s="10">
        <v>0.149</v>
      </c>
      <c r="G10" s="10">
        <v>9.27</v>
      </c>
      <c r="H10" s="9">
        <v>1.38</v>
      </c>
    </row>
    <row r="11" ht="27.9" customHeight="1" spans="1:8">
      <c r="A11" s="5" t="s">
        <v>357</v>
      </c>
      <c r="B11" s="6" t="s">
        <v>494</v>
      </c>
      <c r="C11" s="6" t="s">
        <v>495</v>
      </c>
      <c r="D11" s="6" t="s">
        <v>496</v>
      </c>
      <c r="E11" s="5" t="s">
        <v>493</v>
      </c>
      <c r="F11" s="10">
        <v>1247.394</v>
      </c>
      <c r="G11" s="10">
        <v>8.22</v>
      </c>
      <c r="H11" s="9">
        <v>10253.58</v>
      </c>
    </row>
    <row r="12" ht="16.3" customHeight="1" spans="1:8">
      <c r="A12" s="5" t="s">
        <v>361</v>
      </c>
      <c r="B12" s="6" t="s">
        <v>497</v>
      </c>
      <c r="C12" s="6" t="s">
        <v>498</v>
      </c>
      <c r="D12" s="6" t="s">
        <v>486</v>
      </c>
      <c r="E12" s="5" t="s">
        <v>425</v>
      </c>
      <c r="F12" s="10">
        <v>23.048</v>
      </c>
      <c r="G12" s="10">
        <v>3392.59</v>
      </c>
      <c r="H12" s="9">
        <v>78191.71</v>
      </c>
    </row>
    <row r="13" ht="16.3" customHeight="1" spans="1:8">
      <c r="A13" s="5" t="s">
        <v>365</v>
      </c>
      <c r="B13" s="6" t="s">
        <v>499</v>
      </c>
      <c r="C13" s="6" t="s">
        <v>500</v>
      </c>
      <c r="D13" s="6" t="s">
        <v>486</v>
      </c>
      <c r="E13" s="5" t="s">
        <v>425</v>
      </c>
      <c r="F13" s="10">
        <v>12.611</v>
      </c>
      <c r="G13" s="10">
        <v>3583.84</v>
      </c>
      <c r="H13" s="9">
        <v>45196.01</v>
      </c>
    </row>
    <row r="14" ht="27.9" customHeight="1" spans="1:8">
      <c r="A14" s="5" t="s">
        <v>368</v>
      </c>
      <c r="B14" s="6" t="s">
        <v>501</v>
      </c>
      <c r="C14" s="6" t="s">
        <v>500</v>
      </c>
      <c r="D14" s="6" t="s">
        <v>502</v>
      </c>
      <c r="E14" s="5" t="s">
        <v>493</v>
      </c>
      <c r="F14" s="10">
        <v>1640.525</v>
      </c>
      <c r="G14" s="10">
        <v>3.544</v>
      </c>
      <c r="H14" s="9">
        <v>5814.02</v>
      </c>
    </row>
    <row r="15" ht="27.9" customHeight="1" spans="1:8">
      <c r="A15" s="5" t="s">
        <v>373</v>
      </c>
      <c r="B15" s="6" t="s">
        <v>503</v>
      </c>
      <c r="C15" s="6" t="s">
        <v>85</v>
      </c>
      <c r="D15" s="6" t="s">
        <v>6</v>
      </c>
      <c r="E15" s="5" t="s">
        <v>493</v>
      </c>
      <c r="F15" s="10">
        <v>74021.04</v>
      </c>
      <c r="G15" s="10">
        <v>4.52</v>
      </c>
      <c r="H15" s="9">
        <v>334575.1</v>
      </c>
    </row>
    <row r="16" ht="16.3" customHeight="1" spans="1:8">
      <c r="A16" s="5" t="s">
        <v>377</v>
      </c>
      <c r="B16" s="6" t="s">
        <v>504</v>
      </c>
      <c r="C16" s="6" t="s">
        <v>505</v>
      </c>
      <c r="D16" s="6" t="s">
        <v>486</v>
      </c>
      <c r="E16" s="5" t="s">
        <v>493</v>
      </c>
      <c r="F16" s="10">
        <v>4.874</v>
      </c>
      <c r="G16" s="10">
        <v>4.896</v>
      </c>
      <c r="H16" s="9">
        <v>23.86</v>
      </c>
    </row>
    <row r="17" ht="16.3" customHeight="1" spans="1:8">
      <c r="A17" s="5" t="s">
        <v>381</v>
      </c>
      <c r="B17" s="6" t="s">
        <v>506</v>
      </c>
      <c r="C17" s="6" t="s">
        <v>507</v>
      </c>
      <c r="D17" s="6" t="s">
        <v>6</v>
      </c>
      <c r="E17" s="5" t="s">
        <v>98</v>
      </c>
      <c r="F17" s="10">
        <v>2.97</v>
      </c>
      <c r="G17" s="10">
        <v>4.6</v>
      </c>
      <c r="H17" s="9">
        <v>13.66</v>
      </c>
    </row>
    <row r="18" ht="16.3" customHeight="1" spans="1:8">
      <c r="A18" s="5" t="s">
        <v>385</v>
      </c>
      <c r="B18" s="6" t="s">
        <v>508</v>
      </c>
      <c r="C18" s="6" t="s">
        <v>507</v>
      </c>
      <c r="D18" s="6" t="s">
        <v>509</v>
      </c>
      <c r="E18" s="5" t="s">
        <v>98</v>
      </c>
      <c r="F18" s="10">
        <v>17.773</v>
      </c>
      <c r="G18" s="10">
        <v>4.87</v>
      </c>
      <c r="H18" s="9">
        <v>86.55</v>
      </c>
    </row>
    <row r="19" ht="16.3" customHeight="1" spans="1:8">
      <c r="A19" s="5" t="s">
        <v>389</v>
      </c>
      <c r="B19" s="6" t="s">
        <v>510</v>
      </c>
      <c r="C19" s="6" t="s">
        <v>511</v>
      </c>
      <c r="D19" s="6" t="s">
        <v>6</v>
      </c>
      <c r="E19" s="5" t="s">
        <v>364</v>
      </c>
      <c r="F19" s="10">
        <v>14.516</v>
      </c>
      <c r="G19" s="10">
        <v>1.53</v>
      </c>
      <c r="H19" s="9">
        <v>22.21</v>
      </c>
    </row>
    <row r="20" ht="16.3" customHeight="1" spans="1:8">
      <c r="A20" s="5" t="s">
        <v>393</v>
      </c>
      <c r="B20" s="6" t="s">
        <v>512</v>
      </c>
      <c r="C20" s="6" t="s">
        <v>513</v>
      </c>
      <c r="D20" s="6" t="s">
        <v>6</v>
      </c>
      <c r="E20" s="5" t="s">
        <v>493</v>
      </c>
      <c r="F20" s="10">
        <v>3.37</v>
      </c>
      <c r="G20" s="10">
        <v>9.93</v>
      </c>
      <c r="H20" s="9">
        <v>33.46</v>
      </c>
    </row>
    <row r="21" ht="16.3" customHeight="1" spans="1:8">
      <c r="A21" s="5" t="s">
        <v>397</v>
      </c>
      <c r="B21" s="6" t="s">
        <v>514</v>
      </c>
      <c r="C21" s="6" t="s">
        <v>515</v>
      </c>
      <c r="D21" s="6" t="s">
        <v>6</v>
      </c>
      <c r="E21" s="5" t="s">
        <v>493</v>
      </c>
      <c r="F21" s="10">
        <v>14.587</v>
      </c>
      <c r="G21" s="10">
        <v>9.93</v>
      </c>
      <c r="H21" s="9">
        <v>144.85</v>
      </c>
    </row>
    <row r="22" ht="16.3" customHeight="1" spans="1:8">
      <c r="A22" s="5" t="s">
        <v>402</v>
      </c>
      <c r="B22" s="6" t="s">
        <v>516</v>
      </c>
      <c r="C22" s="6" t="s">
        <v>517</v>
      </c>
      <c r="D22" s="6" t="s">
        <v>6</v>
      </c>
      <c r="E22" s="5" t="s">
        <v>493</v>
      </c>
      <c r="F22" s="10">
        <v>8.343</v>
      </c>
      <c r="G22" s="10">
        <v>8.37</v>
      </c>
      <c r="H22" s="9">
        <v>69.83</v>
      </c>
    </row>
    <row r="23" ht="16.3" customHeight="1" spans="1:8">
      <c r="A23" s="5" t="s">
        <v>406</v>
      </c>
      <c r="B23" s="6" t="s">
        <v>518</v>
      </c>
      <c r="C23" s="6" t="s">
        <v>519</v>
      </c>
      <c r="D23" s="6" t="s">
        <v>6</v>
      </c>
      <c r="E23" s="5" t="s">
        <v>493</v>
      </c>
      <c r="F23" s="10">
        <v>955.989</v>
      </c>
      <c r="G23" s="10">
        <v>6.46</v>
      </c>
      <c r="H23" s="9">
        <v>6175.69</v>
      </c>
    </row>
    <row r="24" ht="16.3" customHeight="1" spans="1:8">
      <c r="A24" s="5" t="s">
        <v>410</v>
      </c>
      <c r="B24" s="6" t="s">
        <v>520</v>
      </c>
      <c r="C24" s="6" t="s">
        <v>521</v>
      </c>
      <c r="D24" s="6" t="s">
        <v>522</v>
      </c>
      <c r="E24" s="5" t="s">
        <v>376</v>
      </c>
      <c r="F24" s="10">
        <v>603.84</v>
      </c>
      <c r="G24" s="10">
        <v>0.49</v>
      </c>
      <c r="H24" s="9">
        <v>295.88</v>
      </c>
    </row>
    <row r="25" ht="27.9" customHeight="1" spans="1:8">
      <c r="A25" s="5" t="s">
        <v>413</v>
      </c>
      <c r="B25" s="6" t="s">
        <v>523</v>
      </c>
      <c r="C25" s="6" t="s">
        <v>524</v>
      </c>
      <c r="D25" s="6" t="s">
        <v>525</v>
      </c>
      <c r="E25" s="5" t="s">
        <v>493</v>
      </c>
      <c r="F25" s="10">
        <v>5000.364</v>
      </c>
      <c r="G25" s="10">
        <v>8.85</v>
      </c>
      <c r="H25" s="9">
        <v>44253.22</v>
      </c>
    </row>
    <row r="26" ht="16.3" customHeight="1" spans="1:8">
      <c r="A26" s="5" t="s">
        <v>417</v>
      </c>
      <c r="B26" s="6" t="s">
        <v>526</v>
      </c>
      <c r="C26" s="6" t="s">
        <v>527</v>
      </c>
      <c r="D26" s="6" t="s">
        <v>528</v>
      </c>
      <c r="E26" s="5" t="s">
        <v>493</v>
      </c>
      <c r="F26" s="10">
        <v>49.714</v>
      </c>
      <c r="G26" s="10">
        <v>6.86</v>
      </c>
      <c r="H26" s="9">
        <v>341.04</v>
      </c>
    </row>
    <row r="27" ht="16.3" customHeight="1" spans="1:8">
      <c r="A27" s="5" t="s">
        <v>421</v>
      </c>
      <c r="B27" s="6" t="s">
        <v>529</v>
      </c>
      <c r="C27" s="6" t="s">
        <v>530</v>
      </c>
      <c r="D27" s="6" t="s">
        <v>6</v>
      </c>
      <c r="E27" s="5" t="s">
        <v>531</v>
      </c>
      <c r="F27" s="10">
        <v>0.368</v>
      </c>
      <c r="G27" s="10">
        <v>14.16</v>
      </c>
      <c r="H27" s="9">
        <v>5.2</v>
      </c>
    </row>
    <row r="28" ht="16.3" customHeight="1" spans="1:8">
      <c r="A28" s="5" t="s">
        <v>426</v>
      </c>
      <c r="B28" s="6" t="s">
        <v>532</v>
      </c>
      <c r="C28" s="6" t="s">
        <v>533</v>
      </c>
      <c r="D28" s="6" t="s">
        <v>6</v>
      </c>
      <c r="E28" s="5" t="s">
        <v>493</v>
      </c>
      <c r="F28" s="10">
        <v>452.257</v>
      </c>
      <c r="G28" s="10">
        <v>4.82</v>
      </c>
      <c r="H28" s="9">
        <v>2179.88</v>
      </c>
    </row>
    <row r="29" ht="16.3" customHeight="1" spans="1:8">
      <c r="A29" s="5" t="s">
        <v>430</v>
      </c>
      <c r="B29" s="6" t="s">
        <v>534</v>
      </c>
      <c r="C29" s="6" t="s">
        <v>535</v>
      </c>
      <c r="D29" s="6" t="s">
        <v>6</v>
      </c>
      <c r="E29" s="5" t="s">
        <v>493</v>
      </c>
      <c r="F29" s="10">
        <v>2.861</v>
      </c>
      <c r="G29" s="10">
        <v>5.73</v>
      </c>
      <c r="H29" s="9">
        <v>16.4</v>
      </c>
    </row>
    <row r="30" ht="16.3" customHeight="1" spans="1:8">
      <c r="A30" s="5" t="s">
        <v>434</v>
      </c>
      <c r="B30" s="6" t="s">
        <v>536</v>
      </c>
      <c r="C30" s="6" t="s">
        <v>537</v>
      </c>
      <c r="D30" s="6" t="s">
        <v>6</v>
      </c>
      <c r="E30" s="5" t="s">
        <v>493</v>
      </c>
      <c r="F30" s="10">
        <v>860.272</v>
      </c>
      <c r="G30" s="10">
        <v>6.11</v>
      </c>
      <c r="H30" s="9">
        <v>5256.26</v>
      </c>
    </row>
    <row r="31" ht="16.3" customHeight="1" spans="1:8">
      <c r="A31" s="5" t="s">
        <v>438</v>
      </c>
      <c r="B31" s="6" t="s">
        <v>538</v>
      </c>
      <c r="C31" s="6" t="s">
        <v>539</v>
      </c>
      <c r="D31" s="6" t="s">
        <v>540</v>
      </c>
      <c r="E31" s="5" t="s">
        <v>493</v>
      </c>
      <c r="F31" s="10">
        <v>251.138</v>
      </c>
      <c r="G31" s="10">
        <v>0.384</v>
      </c>
      <c r="H31" s="9">
        <v>96.44</v>
      </c>
    </row>
    <row r="32" ht="27.9" customHeight="1" spans="1:8">
      <c r="A32" s="5" t="s">
        <v>444</v>
      </c>
      <c r="B32" s="6" t="s">
        <v>541</v>
      </c>
      <c r="C32" s="6" t="s">
        <v>539</v>
      </c>
      <c r="D32" s="6" t="s">
        <v>542</v>
      </c>
      <c r="E32" s="5" t="s">
        <v>493</v>
      </c>
      <c r="F32" s="10">
        <v>1169.995</v>
      </c>
      <c r="G32" s="10">
        <v>0.411</v>
      </c>
      <c r="H32" s="9">
        <v>480.87</v>
      </c>
    </row>
    <row r="33" ht="16.3" customHeight="1" spans="1:8">
      <c r="A33" s="5" t="s">
        <v>448</v>
      </c>
      <c r="B33" s="6" t="s">
        <v>543</v>
      </c>
      <c r="C33" s="6" t="s">
        <v>544</v>
      </c>
      <c r="D33" s="6" t="s">
        <v>540</v>
      </c>
      <c r="E33" s="5" t="s">
        <v>493</v>
      </c>
      <c r="F33" s="10">
        <v>0.002</v>
      </c>
      <c r="G33" s="10">
        <v>0.384</v>
      </c>
      <c r="H33" s="8"/>
    </row>
    <row r="34" ht="27.9" customHeight="1" spans="1:8">
      <c r="A34" s="5" t="s">
        <v>453</v>
      </c>
      <c r="B34" s="6" t="s">
        <v>545</v>
      </c>
      <c r="C34" s="6" t="s">
        <v>546</v>
      </c>
      <c r="D34" s="6" t="s">
        <v>542</v>
      </c>
      <c r="E34" s="5" t="s">
        <v>493</v>
      </c>
      <c r="F34" s="10">
        <v>50043.499</v>
      </c>
      <c r="G34" s="10">
        <v>0.348</v>
      </c>
      <c r="H34" s="9">
        <v>17415.14</v>
      </c>
    </row>
    <row r="35" ht="16.3" customHeight="1" spans="1:8">
      <c r="A35" s="5" t="s">
        <v>547</v>
      </c>
      <c r="B35" s="6" t="s">
        <v>548</v>
      </c>
      <c r="C35" s="6" t="s">
        <v>549</v>
      </c>
      <c r="D35" s="6" t="s">
        <v>550</v>
      </c>
      <c r="E35" s="5" t="s">
        <v>43</v>
      </c>
      <c r="F35" s="10">
        <v>0.248</v>
      </c>
      <c r="G35" s="10">
        <v>161.21</v>
      </c>
      <c r="H35" s="9">
        <v>39.9</v>
      </c>
    </row>
    <row r="36" ht="16.3" customHeight="1" spans="1:8">
      <c r="A36" s="5" t="s">
        <v>551</v>
      </c>
      <c r="B36" s="6" t="s">
        <v>552</v>
      </c>
      <c r="C36" s="6" t="s">
        <v>553</v>
      </c>
      <c r="D36" s="6" t="s">
        <v>550</v>
      </c>
      <c r="E36" s="5" t="s">
        <v>43</v>
      </c>
      <c r="F36" s="10">
        <v>5.873</v>
      </c>
      <c r="G36" s="10">
        <v>161.21</v>
      </c>
      <c r="H36" s="9">
        <v>946.81</v>
      </c>
    </row>
    <row r="37" ht="16.3" customHeight="1" spans="1:8">
      <c r="A37" s="5" t="s">
        <v>554</v>
      </c>
      <c r="B37" s="6" t="s">
        <v>555</v>
      </c>
      <c r="C37" s="6" t="s">
        <v>556</v>
      </c>
      <c r="D37" s="6" t="s">
        <v>6</v>
      </c>
      <c r="E37" s="5" t="s">
        <v>43</v>
      </c>
      <c r="F37" s="10">
        <v>3.806</v>
      </c>
      <c r="G37" s="10">
        <v>139.24</v>
      </c>
      <c r="H37" s="9">
        <v>529.98</v>
      </c>
    </row>
    <row r="38" ht="16.3" customHeight="1" spans="1:8">
      <c r="A38" s="5" t="s">
        <v>557</v>
      </c>
      <c r="B38" s="6" t="s">
        <v>558</v>
      </c>
      <c r="C38" s="6" t="s">
        <v>559</v>
      </c>
      <c r="D38" s="6" t="s">
        <v>6</v>
      </c>
      <c r="E38" s="5" t="s">
        <v>43</v>
      </c>
      <c r="F38" s="10">
        <v>85.869</v>
      </c>
      <c r="G38" s="10">
        <v>90</v>
      </c>
      <c r="H38" s="9">
        <v>7728.25</v>
      </c>
    </row>
    <row r="39" ht="27.9" customHeight="1" spans="1:8">
      <c r="A39" s="5" t="s">
        <v>560</v>
      </c>
      <c r="B39" s="6" t="s">
        <v>561</v>
      </c>
      <c r="C39" s="6" t="s">
        <v>562</v>
      </c>
      <c r="D39" s="6" t="s">
        <v>6</v>
      </c>
      <c r="E39" s="5" t="s">
        <v>98</v>
      </c>
      <c r="F39" s="10">
        <v>890.552</v>
      </c>
      <c r="G39" s="10">
        <v>72.8</v>
      </c>
      <c r="H39" s="9">
        <v>64832.17</v>
      </c>
    </row>
    <row r="40" ht="25.6" customHeight="1" spans="1:8">
      <c r="A40" s="1" t="s">
        <v>472</v>
      </c>
      <c r="B40" s="1"/>
      <c r="C40" s="1"/>
      <c r="D40" s="1"/>
      <c r="E40" s="1"/>
      <c r="F40" s="1"/>
      <c r="G40" s="1"/>
      <c r="H40" s="1"/>
    </row>
    <row r="41" ht="17.85" customHeight="1" spans="1:8">
      <c r="A41" s="2" t="s">
        <v>6</v>
      </c>
      <c r="B41" s="2"/>
      <c r="C41" s="2"/>
      <c r="D41" s="2"/>
      <c r="E41" s="2"/>
      <c r="F41" s="2"/>
      <c r="G41" s="2"/>
      <c r="H41" s="2"/>
    </row>
    <row r="42" ht="17.05" customHeight="1" spans="1:8">
      <c r="A42" s="3" t="s">
        <v>21</v>
      </c>
      <c r="B42" s="3"/>
      <c r="C42" s="3"/>
      <c r="D42" s="3"/>
      <c r="E42" s="3"/>
      <c r="F42" s="3"/>
      <c r="G42" s="2" t="s">
        <v>563</v>
      </c>
      <c r="H42" s="2"/>
    </row>
    <row r="43" ht="31" customHeight="1" spans="1:8">
      <c r="A43" s="4" t="s">
        <v>25</v>
      </c>
      <c r="B43" s="4" t="s">
        <v>474</v>
      </c>
      <c r="C43" s="4" t="s">
        <v>475</v>
      </c>
      <c r="D43" s="4" t="s">
        <v>476</v>
      </c>
      <c r="E43" s="4" t="s">
        <v>477</v>
      </c>
      <c r="F43" s="5" t="s">
        <v>478</v>
      </c>
      <c r="G43" s="4" t="s">
        <v>479</v>
      </c>
      <c r="H43" s="5" t="s">
        <v>346</v>
      </c>
    </row>
    <row r="44" ht="16.3" customHeight="1" spans="1:8">
      <c r="A44" s="5" t="s">
        <v>564</v>
      </c>
      <c r="B44" s="6" t="s">
        <v>565</v>
      </c>
      <c r="C44" s="6" t="s">
        <v>566</v>
      </c>
      <c r="D44" s="6" t="s">
        <v>567</v>
      </c>
      <c r="E44" s="5" t="s">
        <v>43</v>
      </c>
      <c r="F44" s="10">
        <v>119.805</v>
      </c>
      <c r="G44" s="10">
        <v>81.39</v>
      </c>
      <c r="H44" s="9">
        <v>9750.9</v>
      </c>
    </row>
    <row r="45" ht="16.3" customHeight="1" spans="1:8">
      <c r="A45" s="5" t="s">
        <v>568</v>
      </c>
      <c r="B45" s="6" t="s">
        <v>569</v>
      </c>
      <c r="C45" s="6" t="s">
        <v>566</v>
      </c>
      <c r="D45" s="6" t="s">
        <v>570</v>
      </c>
      <c r="E45" s="5" t="s">
        <v>43</v>
      </c>
      <c r="F45" s="10">
        <v>14.569</v>
      </c>
      <c r="G45" s="10">
        <v>81.39</v>
      </c>
      <c r="H45" s="9">
        <v>1185.75</v>
      </c>
    </row>
    <row r="46" ht="16.3" customHeight="1" spans="1:8">
      <c r="A46" s="5" t="s">
        <v>571</v>
      </c>
      <c r="B46" s="6" t="s">
        <v>572</v>
      </c>
      <c r="C46" s="6" t="s">
        <v>573</v>
      </c>
      <c r="D46" s="6" t="s">
        <v>6</v>
      </c>
      <c r="E46" s="5" t="s">
        <v>493</v>
      </c>
      <c r="F46" s="10">
        <v>8</v>
      </c>
      <c r="G46" s="10">
        <v>0.54</v>
      </c>
      <c r="H46" s="9">
        <v>4.32</v>
      </c>
    </row>
    <row r="47" ht="27.9" customHeight="1" spans="1:8">
      <c r="A47" s="5" t="s">
        <v>574</v>
      </c>
      <c r="B47" s="6" t="s">
        <v>575</v>
      </c>
      <c r="C47" s="6" t="s">
        <v>576</v>
      </c>
      <c r="D47" s="6" t="s">
        <v>577</v>
      </c>
      <c r="E47" s="5" t="s">
        <v>372</v>
      </c>
      <c r="F47" s="10">
        <v>148</v>
      </c>
      <c r="G47" s="10">
        <v>41.74</v>
      </c>
      <c r="H47" s="9">
        <v>6177.52</v>
      </c>
    </row>
    <row r="48" ht="16.3" customHeight="1" spans="1:8">
      <c r="A48" s="5" t="s">
        <v>578</v>
      </c>
      <c r="B48" s="6" t="s">
        <v>579</v>
      </c>
      <c r="C48" s="6" t="s">
        <v>580</v>
      </c>
      <c r="D48" s="6" t="s">
        <v>6</v>
      </c>
      <c r="E48" s="5" t="s">
        <v>43</v>
      </c>
      <c r="F48" s="10">
        <v>10.932</v>
      </c>
      <c r="G48" s="10">
        <v>485.44</v>
      </c>
      <c r="H48" s="9">
        <v>5306.86</v>
      </c>
    </row>
    <row r="49" ht="16.3" customHeight="1" spans="1:8">
      <c r="A49" s="5" t="s">
        <v>581</v>
      </c>
      <c r="B49" s="6" t="s">
        <v>582</v>
      </c>
      <c r="C49" s="6" t="s">
        <v>583</v>
      </c>
      <c r="D49" s="6" t="s">
        <v>584</v>
      </c>
      <c r="E49" s="5" t="s">
        <v>372</v>
      </c>
      <c r="F49" s="10">
        <v>125.203</v>
      </c>
      <c r="G49" s="10">
        <v>0.99</v>
      </c>
      <c r="H49" s="9">
        <v>123.95</v>
      </c>
    </row>
    <row r="50" ht="16.3" customHeight="1" spans="1:8">
      <c r="A50" s="5" t="s">
        <v>585</v>
      </c>
      <c r="B50" s="6" t="s">
        <v>586</v>
      </c>
      <c r="C50" s="6" t="s">
        <v>587</v>
      </c>
      <c r="D50" s="6" t="s">
        <v>6</v>
      </c>
      <c r="E50" s="5" t="s">
        <v>43</v>
      </c>
      <c r="F50" s="10">
        <v>0.018</v>
      </c>
      <c r="G50" s="10">
        <v>1858</v>
      </c>
      <c r="H50" s="9">
        <v>33.67</v>
      </c>
    </row>
    <row r="51" ht="16.3" customHeight="1" spans="1:8">
      <c r="A51" s="5" t="s">
        <v>588</v>
      </c>
      <c r="B51" s="6" t="s">
        <v>589</v>
      </c>
      <c r="C51" s="6" t="s">
        <v>590</v>
      </c>
      <c r="D51" s="6" t="s">
        <v>6</v>
      </c>
      <c r="E51" s="5" t="s">
        <v>43</v>
      </c>
      <c r="F51" s="10">
        <v>2.047</v>
      </c>
      <c r="G51" s="10">
        <v>1379</v>
      </c>
      <c r="H51" s="9">
        <v>2822.95</v>
      </c>
    </row>
    <row r="52" ht="16.3" customHeight="1" spans="1:8">
      <c r="A52" s="5" t="s">
        <v>591</v>
      </c>
      <c r="B52" s="6" t="s">
        <v>592</v>
      </c>
      <c r="C52" s="6" t="s">
        <v>593</v>
      </c>
      <c r="D52" s="6" t="s">
        <v>486</v>
      </c>
      <c r="E52" s="5" t="s">
        <v>43</v>
      </c>
      <c r="F52" s="10">
        <v>0.08</v>
      </c>
      <c r="G52" s="10">
        <v>1969</v>
      </c>
      <c r="H52" s="9">
        <v>157.52</v>
      </c>
    </row>
    <row r="53" ht="16.3" customHeight="1" spans="1:8">
      <c r="A53" s="5" t="s">
        <v>594</v>
      </c>
      <c r="B53" s="6" t="s">
        <v>595</v>
      </c>
      <c r="C53" s="6" t="s">
        <v>596</v>
      </c>
      <c r="D53" s="6" t="s">
        <v>597</v>
      </c>
      <c r="E53" s="5" t="s">
        <v>98</v>
      </c>
      <c r="F53" s="10">
        <v>0.267</v>
      </c>
      <c r="G53" s="10">
        <v>26.55</v>
      </c>
      <c r="H53" s="9">
        <v>7.1</v>
      </c>
    </row>
    <row r="54" ht="27.9" customHeight="1" spans="1:8">
      <c r="A54" s="5" t="s">
        <v>598</v>
      </c>
      <c r="B54" s="6" t="s">
        <v>599</v>
      </c>
      <c r="C54" s="6" t="s">
        <v>600</v>
      </c>
      <c r="D54" s="6" t="s">
        <v>601</v>
      </c>
      <c r="E54" s="5" t="s">
        <v>98</v>
      </c>
      <c r="F54" s="10">
        <v>96.594</v>
      </c>
      <c r="G54" s="10">
        <v>121.2</v>
      </c>
      <c r="H54" s="9">
        <v>11707.19</v>
      </c>
    </row>
    <row r="55" ht="16.3" customHeight="1" spans="1:8">
      <c r="A55" s="5" t="s">
        <v>602</v>
      </c>
      <c r="B55" s="6" t="s">
        <v>603</v>
      </c>
      <c r="C55" s="6" t="s">
        <v>57</v>
      </c>
      <c r="D55" s="6" t="s">
        <v>6</v>
      </c>
      <c r="E55" s="5" t="s">
        <v>372</v>
      </c>
      <c r="F55" s="10">
        <v>559.98</v>
      </c>
      <c r="G55" s="10">
        <v>265.6</v>
      </c>
      <c r="H55" s="9">
        <v>148730.69</v>
      </c>
    </row>
    <row r="56" ht="16.3" customHeight="1" spans="1:8">
      <c r="A56" s="5" t="s">
        <v>604</v>
      </c>
      <c r="B56" s="6" t="s">
        <v>605</v>
      </c>
      <c r="C56" s="6" t="s">
        <v>606</v>
      </c>
      <c r="D56" s="6" t="s">
        <v>6</v>
      </c>
      <c r="E56" s="5" t="s">
        <v>493</v>
      </c>
      <c r="F56" s="10">
        <v>260.54</v>
      </c>
      <c r="G56" s="10">
        <v>24.28</v>
      </c>
      <c r="H56" s="9">
        <v>6325.9</v>
      </c>
    </row>
    <row r="57" ht="27.9" customHeight="1" spans="1:8">
      <c r="A57" s="5" t="s">
        <v>607</v>
      </c>
      <c r="B57" s="6" t="s">
        <v>608</v>
      </c>
      <c r="C57" s="6" t="s">
        <v>609</v>
      </c>
      <c r="D57" s="6" t="s">
        <v>6</v>
      </c>
      <c r="E57" s="5" t="s">
        <v>493</v>
      </c>
      <c r="F57" s="10">
        <v>3609.529</v>
      </c>
      <c r="G57" s="10">
        <v>12.73</v>
      </c>
      <c r="H57" s="9">
        <v>45949.3</v>
      </c>
    </row>
    <row r="58" ht="16.3" customHeight="1" spans="1:8">
      <c r="A58" s="5" t="s">
        <v>610</v>
      </c>
      <c r="B58" s="6" t="s">
        <v>611</v>
      </c>
      <c r="C58" s="6" t="s">
        <v>612</v>
      </c>
      <c r="D58" s="6" t="s">
        <v>6</v>
      </c>
      <c r="E58" s="5" t="s">
        <v>493</v>
      </c>
      <c r="F58" s="10">
        <v>21.622</v>
      </c>
      <c r="G58" s="10">
        <v>4</v>
      </c>
      <c r="H58" s="9">
        <v>86.49</v>
      </c>
    </row>
    <row r="59" ht="16.3" customHeight="1" spans="1:8">
      <c r="A59" s="5" t="s">
        <v>613</v>
      </c>
      <c r="B59" s="6" t="s">
        <v>614</v>
      </c>
      <c r="C59" s="6" t="s">
        <v>615</v>
      </c>
      <c r="D59" s="6" t="s">
        <v>6</v>
      </c>
      <c r="E59" s="5" t="s">
        <v>493</v>
      </c>
      <c r="F59" s="10">
        <v>30.265</v>
      </c>
      <c r="G59" s="10">
        <v>2.92</v>
      </c>
      <c r="H59" s="9">
        <v>88.37</v>
      </c>
    </row>
    <row r="60" ht="16.3" customHeight="1" spans="1:8">
      <c r="A60" s="5" t="s">
        <v>616</v>
      </c>
      <c r="B60" s="6" t="s">
        <v>617</v>
      </c>
      <c r="C60" s="6" t="s">
        <v>618</v>
      </c>
      <c r="D60" s="6" t="s">
        <v>6</v>
      </c>
      <c r="E60" s="5" t="s">
        <v>493</v>
      </c>
      <c r="F60" s="10">
        <v>1.403</v>
      </c>
      <c r="G60" s="10">
        <v>21.45</v>
      </c>
      <c r="H60" s="9">
        <v>30.1</v>
      </c>
    </row>
    <row r="61" ht="16.3" customHeight="1" spans="1:8">
      <c r="A61" s="5" t="s">
        <v>619</v>
      </c>
      <c r="B61" s="6" t="s">
        <v>620</v>
      </c>
      <c r="C61" s="6" t="s">
        <v>621</v>
      </c>
      <c r="D61" s="6" t="s">
        <v>6</v>
      </c>
      <c r="E61" s="5" t="s">
        <v>493</v>
      </c>
      <c r="F61" s="10">
        <v>26.054</v>
      </c>
      <c r="G61" s="10">
        <v>11.31</v>
      </c>
      <c r="H61" s="9">
        <v>294.67</v>
      </c>
    </row>
    <row r="62" ht="16.3" customHeight="1" spans="1:8">
      <c r="A62" s="5" t="s">
        <v>622</v>
      </c>
      <c r="B62" s="6" t="s">
        <v>623</v>
      </c>
      <c r="C62" s="6" t="s">
        <v>624</v>
      </c>
      <c r="D62" s="6" t="s">
        <v>6</v>
      </c>
      <c r="E62" s="5" t="s">
        <v>493</v>
      </c>
      <c r="F62" s="10">
        <v>218.273</v>
      </c>
      <c r="G62" s="10">
        <v>12.99</v>
      </c>
      <c r="H62" s="9">
        <v>2835.36</v>
      </c>
    </row>
    <row r="63" ht="27.9" customHeight="1" spans="1:8">
      <c r="A63" s="5" t="s">
        <v>625</v>
      </c>
      <c r="B63" s="6" t="s">
        <v>626</v>
      </c>
      <c r="C63" s="6" t="s">
        <v>627</v>
      </c>
      <c r="D63" s="6" t="s">
        <v>6</v>
      </c>
      <c r="E63" s="5" t="s">
        <v>43</v>
      </c>
      <c r="F63" s="10">
        <v>3956.443</v>
      </c>
      <c r="G63" s="10">
        <v>2.05</v>
      </c>
      <c r="H63" s="9">
        <v>8110.71</v>
      </c>
    </row>
    <row r="64" ht="27.9" customHeight="1" spans="1:8">
      <c r="A64" s="5" t="s">
        <v>628</v>
      </c>
      <c r="B64" s="6" t="s">
        <v>629</v>
      </c>
      <c r="C64" s="6" t="s">
        <v>630</v>
      </c>
      <c r="D64" s="6" t="s">
        <v>6</v>
      </c>
      <c r="E64" s="5" t="s">
        <v>493</v>
      </c>
      <c r="F64" s="10">
        <v>1237.022</v>
      </c>
      <c r="G64" s="10">
        <v>2.88</v>
      </c>
      <c r="H64" s="9">
        <v>3562.62</v>
      </c>
    </row>
    <row r="65" ht="27.9" customHeight="1" spans="1:8">
      <c r="A65" s="5" t="s">
        <v>631</v>
      </c>
      <c r="B65" s="6" t="s">
        <v>632</v>
      </c>
      <c r="C65" s="6" t="s">
        <v>633</v>
      </c>
      <c r="D65" s="6" t="s">
        <v>6</v>
      </c>
      <c r="E65" s="5" t="s">
        <v>43</v>
      </c>
      <c r="F65" s="10">
        <v>2490.527</v>
      </c>
      <c r="G65" s="10">
        <v>4.01</v>
      </c>
      <c r="H65" s="9">
        <v>9987.01</v>
      </c>
    </row>
    <row r="66" ht="16.3" customHeight="1" spans="1:8">
      <c r="A66" s="5" t="s">
        <v>634</v>
      </c>
      <c r="B66" s="6" t="s">
        <v>635</v>
      </c>
      <c r="C66" s="6" t="s">
        <v>636</v>
      </c>
      <c r="D66" s="6" t="s">
        <v>6</v>
      </c>
      <c r="E66" s="5" t="s">
        <v>493</v>
      </c>
      <c r="F66" s="10">
        <v>5.489</v>
      </c>
      <c r="G66" s="10">
        <v>21.35</v>
      </c>
      <c r="H66" s="9">
        <v>117.19</v>
      </c>
    </row>
    <row r="67" ht="16.3" customHeight="1" spans="1:8">
      <c r="A67" s="5" t="s">
        <v>637</v>
      </c>
      <c r="B67" s="6" t="s">
        <v>638</v>
      </c>
      <c r="C67" s="6" t="s">
        <v>639</v>
      </c>
      <c r="D67" s="6" t="s">
        <v>640</v>
      </c>
      <c r="E67" s="5" t="s">
        <v>372</v>
      </c>
      <c r="F67" s="10">
        <v>19.125</v>
      </c>
      <c r="G67" s="10">
        <v>2.37</v>
      </c>
      <c r="H67" s="9">
        <v>45.33</v>
      </c>
    </row>
    <row r="68" ht="16.3" customHeight="1" spans="1:8">
      <c r="A68" s="5" t="s">
        <v>641</v>
      </c>
      <c r="B68" s="6" t="s">
        <v>642</v>
      </c>
      <c r="C68" s="6" t="s">
        <v>643</v>
      </c>
      <c r="D68" s="6" t="s">
        <v>6</v>
      </c>
      <c r="E68" s="5" t="s">
        <v>376</v>
      </c>
      <c r="F68" s="10">
        <v>149.48</v>
      </c>
      <c r="G68" s="10">
        <v>188</v>
      </c>
      <c r="H68" s="9">
        <v>28102.24</v>
      </c>
    </row>
    <row r="69" ht="16.3" customHeight="1" spans="1:8">
      <c r="A69" s="5" t="s">
        <v>644</v>
      </c>
      <c r="B69" s="6" t="s">
        <v>645</v>
      </c>
      <c r="C69" s="6" t="s">
        <v>646</v>
      </c>
      <c r="D69" s="6" t="s">
        <v>6</v>
      </c>
      <c r="E69" s="5" t="s">
        <v>98</v>
      </c>
      <c r="F69" s="10">
        <v>239.25</v>
      </c>
      <c r="G69" s="10">
        <v>8.85</v>
      </c>
      <c r="H69" s="9">
        <v>2117.36</v>
      </c>
    </row>
    <row r="70" ht="16.3" customHeight="1" spans="1:8">
      <c r="A70" s="5" t="s">
        <v>647</v>
      </c>
      <c r="B70" s="6" t="s">
        <v>648</v>
      </c>
      <c r="C70" s="6" t="s">
        <v>649</v>
      </c>
      <c r="D70" s="6" t="s">
        <v>6</v>
      </c>
      <c r="E70" s="5" t="s">
        <v>493</v>
      </c>
      <c r="F70" s="10">
        <v>543.004</v>
      </c>
      <c r="G70" s="10">
        <v>0.44</v>
      </c>
      <c r="H70" s="9">
        <v>238.92</v>
      </c>
    </row>
    <row r="71" ht="16.3" customHeight="1" spans="1:8">
      <c r="A71" s="5" t="s">
        <v>650</v>
      </c>
      <c r="B71" s="6" t="s">
        <v>651</v>
      </c>
      <c r="C71" s="6" t="s">
        <v>87</v>
      </c>
      <c r="D71" s="6" t="s">
        <v>6</v>
      </c>
      <c r="E71" s="5" t="s">
        <v>493</v>
      </c>
      <c r="F71" s="10">
        <v>1.575</v>
      </c>
      <c r="G71" s="10">
        <v>5.31</v>
      </c>
      <c r="H71" s="9">
        <v>8.36</v>
      </c>
    </row>
    <row r="72" ht="16.3" customHeight="1" spans="1:8">
      <c r="A72" s="5" t="s">
        <v>652</v>
      </c>
      <c r="B72" s="6" t="s">
        <v>653</v>
      </c>
      <c r="C72" s="6" t="s">
        <v>654</v>
      </c>
      <c r="D72" s="6" t="s">
        <v>6</v>
      </c>
      <c r="E72" s="5" t="s">
        <v>425</v>
      </c>
      <c r="F72" s="10">
        <v>122.896</v>
      </c>
      <c r="G72" s="8"/>
      <c r="H72" s="8"/>
    </row>
    <row r="73" ht="16.3" customHeight="1" spans="1:8">
      <c r="A73" s="5" t="s">
        <v>655</v>
      </c>
      <c r="B73" s="6" t="s">
        <v>656</v>
      </c>
      <c r="C73" s="6" t="s">
        <v>657</v>
      </c>
      <c r="D73" s="6" t="s">
        <v>658</v>
      </c>
      <c r="E73" s="5" t="s">
        <v>659</v>
      </c>
      <c r="F73" s="10">
        <v>3.895</v>
      </c>
      <c r="G73" s="10">
        <v>1.06</v>
      </c>
      <c r="H73" s="9">
        <v>4.13</v>
      </c>
    </row>
    <row r="74" ht="16.3" customHeight="1" spans="1:8">
      <c r="A74" s="5" t="s">
        <v>660</v>
      </c>
      <c r="B74" s="6" t="s">
        <v>661</v>
      </c>
      <c r="C74" s="6" t="s">
        <v>662</v>
      </c>
      <c r="D74" s="6" t="s">
        <v>6</v>
      </c>
      <c r="E74" s="5" t="s">
        <v>663</v>
      </c>
      <c r="F74" s="10">
        <v>86.125</v>
      </c>
      <c r="G74" s="10">
        <v>0.66</v>
      </c>
      <c r="H74" s="9">
        <v>56.84</v>
      </c>
    </row>
    <row r="75" ht="16.3" customHeight="1" spans="1:8">
      <c r="A75" s="5" t="s">
        <v>664</v>
      </c>
      <c r="B75" s="6" t="s">
        <v>665</v>
      </c>
      <c r="C75" s="6" t="s">
        <v>666</v>
      </c>
      <c r="D75" s="6" t="s">
        <v>6</v>
      </c>
      <c r="E75" s="5" t="s">
        <v>43</v>
      </c>
      <c r="F75" s="10">
        <v>170.295</v>
      </c>
      <c r="G75" s="10">
        <v>3.28</v>
      </c>
      <c r="H75" s="9">
        <v>558.57</v>
      </c>
    </row>
    <row r="76" ht="16.3" customHeight="1" spans="1:8">
      <c r="A76" s="5" t="s">
        <v>667</v>
      </c>
      <c r="B76" s="6" t="s">
        <v>668</v>
      </c>
      <c r="C76" s="6" t="s">
        <v>669</v>
      </c>
      <c r="D76" s="6" t="s">
        <v>6</v>
      </c>
      <c r="E76" s="5" t="s">
        <v>493</v>
      </c>
      <c r="F76" s="10">
        <v>0.965</v>
      </c>
      <c r="G76" s="10">
        <v>6.19</v>
      </c>
      <c r="H76" s="9">
        <v>5.97</v>
      </c>
    </row>
    <row r="77" ht="16.3" customHeight="1" spans="1:8">
      <c r="A77" s="5" t="s">
        <v>670</v>
      </c>
      <c r="B77" s="6" t="s">
        <v>671</v>
      </c>
      <c r="C77" s="6" t="s">
        <v>672</v>
      </c>
      <c r="D77" s="6" t="s">
        <v>6</v>
      </c>
      <c r="E77" s="5" t="s">
        <v>493</v>
      </c>
      <c r="F77" s="10">
        <v>4.006</v>
      </c>
      <c r="G77" s="10">
        <v>5.75</v>
      </c>
      <c r="H77" s="9">
        <v>23.03</v>
      </c>
    </row>
    <row r="78" ht="16.3" customHeight="1" spans="1:8">
      <c r="A78" s="5" t="s">
        <v>673</v>
      </c>
      <c r="B78" s="6" t="s">
        <v>674</v>
      </c>
      <c r="C78" s="6" t="s">
        <v>596</v>
      </c>
      <c r="D78" s="6" t="s">
        <v>675</v>
      </c>
      <c r="E78" s="5" t="s">
        <v>98</v>
      </c>
      <c r="F78" s="10">
        <v>121.308</v>
      </c>
      <c r="G78" s="10">
        <v>41.72</v>
      </c>
      <c r="H78" s="9">
        <v>5060.96</v>
      </c>
    </row>
    <row r="79" ht="16.3" customHeight="1" spans="1:8">
      <c r="A79" s="5" t="s">
        <v>676</v>
      </c>
      <c r="B79" s="6" t="s">
        <v>677</v>
      </c>
      <c r="C79" s="6" t="s">
        <v>678</v>
      </c>
      <c r="D79" s="6" t="s">
        <v>6</v>
      </c>
      <c r="E79" s="5" t="s">
        <v>43</v>
      </c>
      <c r="F79" s="10">
        <v>0.078</v>
      </c>
      <c r="G79" s="10">
        <v>2173</v>
      </c>
      <c r="H79" s="9">
        <v>169.15</v>
      </c>
    </row>
    <row r="80" ht="25.6" customHeight="1" spans="1:8">
      <c r="A80" s="1" t="s">
        <v>472</v>
      </c>
      <c r="B80" s="1"/>
      <c r="C80" s="1"/>
      <c r="D80" s="1"/>
      <c r="E80" s="1"/>
      <c r="F80" s="1"/>
      <c r="G80" s="1"/>
      <c r="H80" s="1"/>
    </row>
    <row r="81" ht="17.85" customHeight="1" spans="1:8">
      <c r="A81" s="2" t="s">
        <v>6</v>
      </c>
      <c r="B81" s="2"/>
      <c r="C81" s="2"/>
      <c r="D81" s="2"/>
      <c r="E81" s="2"/>
      <c r="F81" s="2"/>
      <c r="G81" s="2"/>
      <c r="H81" s="2"/>
    </row>
    <row r="82" ht="17.05" customHeight="1" spans="1:8">
      <c r="A82" s="3" t="s">
        <v>21</v>
      </c>
      <c r="B82" s="3"/>
      <c r="C82" s="3"/>
      <c r="D82" s="3"/>
      <c r="E82" s="3"/>
      <c r="F82" s="3"/>
      <c r="G82" s="2" t="s">
        <v>679</v>
      </c>
      <c r="H82" s="2"/>
    </row>
    <row r="83" ht="31" customHeight="1" spans="1:8">
      <c r="A83" s="4" t="s">
        <v>25</v>
      </c>
      <c r="B83" s="4" t="s">
        <v>474</v>
      </c>
      <c r="C83" s="4" t="s">
        <v>475</v>
      </c>
      <c r="D83" s="4" t="s">
        <v>476</v>
      </c>
      <c r="E83" s="4" t="s">
        <v>477</v>
      </c>
      <c r="F83" s="5" t="s">
        <v>478</v>
      </c>
      <c r="G83" s="4" t="s">
        <v>479</v>
      </c>
      <c r="H83" s="5" t="s">
        <v>346</v>
      </c>
    </row>
    <row r="84" ht="16.3" customHeight="1" spans="1:8">
      <c r="A84" s="5" t="s">
        <v>680</v>
      </c>
      <c r="B84" s="6" t="s">
        <v>681</v>
      </c>
      <c r="C84" s="6" t="s">
        <v>682</v>
      </c>
      <c r="D84" s="6" t="s">
        <v>6</v>
      </c>
      <c r="E84" s="5" t="s">
        <v>364</v>
      </c>
      <c r="F84" s="10">
        <v>21.346</v>
      </c>
      <c r="G84" s="10">
        <v>5.31</v>
      </c>
      <c r="H84" s="9">
        <v>113.35</v>
      </c>
    </row>
    <row r="85" ht="16.3" customHeight="1" spans="1:8">
      <c r="A85" s="5" t="s">
        <v>683</v>
      </c>
      <c r="B85" s="6" t="s">
        <v>684</v>
      </c>
      <c r="C85" s="6" t="s">
        <v>685</v>
      </c>
      <c r="D85" s="6" t="s">
        <v>6</v>
      </c>
      <c r="E85" s="5" t="s">
        <v>493</v>
      </c>
      <c r="F85" s="10">
        <v>8.181</v>
      </c>
      <c r="G85" s="10">
        <v>5.75</v>
      </c>
      <c r="H85" s="9">
        <v>47.04</v>
      </c>
    </row>
    <row r="86" ht="16.3" customHeight="1" spans="1:8">
      <c r="A86" s="5" t="s">
        <v>686</v>
      </c>
      <c r="B86" s="6" t="s">
        <v>687</v>
      </c>
      <c r="C86" s="6" t="s">
        <v>688</v>
      </c>
      <c r="D86" s="6" t="s">
        <v>689</v>
      </c>
      <c r="E86" s="5" t="s">
        <v>690</v>
      </c>
      <c r="F86" s="10">
        <v>2.894</v>
      </c>
      <c r="G86" s="10">
        <v>115.04</v>
      </c>
      <c r="H86" s="9">
        <v>332.97</v>
      </c>
    </row>
    <row r="87" ht="16.3" customHeight="1" spans="1:8">
      <c r="A87" s="5" t="s">
        <v>691</v>
      </c>
      <c r="B87" s="6" t="s">
        <v>692</v>
      </c>
      <c r="C87" s="6" t="s">
        <v>693</v>
      </c>
      <c r="D87" s="6" t="s">
        <v>6</v>
      </c>
      <c r="E87" s="5" t="s">
        <v>694</v>
      </c>
      <c r="F87" s="10">
        <v>341.556</v>
      </c>
      <c r="G87" s="10">
        <v>0.44</v>
      </c>
      <c r="H87" s="9">
        <v>150.28</v>
      </c>
    </row>
    <row r="88" ht="16.3" customHeight="1" spans="1:8">
      <c r="A88" s="5" t="s">
        <v>695</v>
      </c>
      <c r="B88" s="6" t="s">
        <v>696</v>
      </c>
      <c r="C88" s="6" t="s">
        <v>697</v>
      </c>
      <c r="D88" s="6" t="s">
        <v>6</v>
      </c>
      <c r="E88" s="5" t="s">
        <v>698</v>
      </c>
      <c r="F88" s="10">
        <v>0.413</v>
      </c>
      <c r="G88" s="10">
        <v>1</v>
      </c>
      <c r="H88" s="9">
        <v>0.41</v>
      </c>
    </row>
    <row r="89" ht="16.3" customHeight="1" spans="1:8">
      <c r="A89" s="5" t="s">
        <v>699</v>
      </c>
      <c r="B89" s="6" t="s">
        <v>696</v>
      </c>
      <c r="C89" s="6" t="s">
        <v>697</v>
      </c>
      <c r="D89" s="6" t="s">
        <v>6</v>
      </c>
      <c r="E89" s="5" t="s">
        <v>698</v>
      </c>
      <c r="F89" s="10">
        <v>980.36</v>
      </c>
      <c r="G89" s="10">
        <v>1</v>
      </c>
      <c r="H89" s="9">
        <v>980.36</v>
      </c>
    </row>
    <row r="90" ht="27.9" customHeight="1" spans="1:8">
      <c r="A90" s="5" t="s">
        <v>700</v>
      </c>
      <c r="B90" s="6" t="s">
        <v>701</v>
      </c>
      <c r="C90" s="6" t="s">
        <v>697</v>
      </c>
      <c r="D90" s="6" t="s">
        <v>6</v>
      </c>
      <c r="E90" s="5" t="s">
        <v>10</v>
      </c>
      <c r="F90" s="10">
        <v>8558.659</v>
      </c>
      <c r="G90" s="10">
        <v>1</v>
      </c>
      <c r="H90" s="9">
        <v>8558.66</v>
      </c>
    </row>
    <row r="91" ht="16.3" customHeight="1" spans="1:8">
      <c r="A91" s="5" t="s">
        <v>702</v>
      </c>
      <c r="B91" s="6" t="s">
        <v>703</v>
      </c>
      <c r="C91" s="6" t="s">
        <v>47</v>
      </c>
      <c r="D91" s="6" t="s">
        <v>6</v>
      </c>
      <c r="E91" s="5" t="s">
        <v>98</v>
      </c>
      <c r="F91" s="10">
        <v>8.05</v>
      </c>
      <c r="G91" s="10">
        <v>200</v>
      </c>
      <c r="H91" s="9">
        <v>1610</v>
      </c>
    </row>
    <row r="92" ht="16.3" customHeight="1" spans="1:8">
      <c r="A92" s="5" t="s">
        <v>704</v>
      </c>
      <c r="B92" s="6" t="s">
        <v>703</v>
      </c>
      <c r="C92" s="6" t="s">
        <v>705</v>
      </c>
      <c r="D92" s="6" t="s">
        <v>6</v>
      </c>
      <c r="E92" s="5" t="s">
        <v>364</v>
      </c>
      <c r="F92" s="10">
        <v>4</v>
      </c>
      <c r="G92" s="10">
        <v>1225</v>
      </c>
      <c r="H92" s="9">
        <v>4900</v>
      </c>
    </row>
    <row r="93" ht="16.3" customHeight="1" spans="1:8">
      <c r="A93" s="5" t="s">
        <v>706</v>
      </c>
      <c r="B93" s="6" t="s">
        <v>703</v>
      </c>
      <c r="C93" s="6" t="s">
        <v>707</v>
      </c>
      <c r="D93" s="6" t="s">
        <v>6</v>
      </c>
      <c r="E93" s="5" t="s">
        <v>376</v>
      </c>
      <c r="F93" s="10">
        <v>2</v>
      </c>
      <c r="G93" s="10">
        <v>2980</v>
      </c>
      <c r="H93" s="9">
        <v>5960</v>
      </c>
    </row>
    <row r="94" ht="27.9" customHeight="1" spans="1:8">
      <c r="A94" s="5" t="s">
        <v>708</v>
      </c>
      <c r="B94" s="6" t="s">
        <v>709</v>
      </c>
      <c r="C94" s="6" t="s">
        <v>100</v>
      </c>
      <c r="D94" s="6" t="s">
        <v>710</v>
      </c>
      <c r="E94" s="5" t="s">
        <v>452</v>
      </c>
      <c r="F94" s="10">
        <v>4</v>
      </c>
      <c r="G94" s="10">
        <v>164</v>
      </c>
      <c r="H94" s="9">
        <v>656</v>
      </c>
    </row>
    <row r="95" ht="16.3" customHeight="1" spans="1:8">
      <c r="A95" s="5" t="s">
        <v>711</v>
      </c>
      <c r="B95" s="6" t="s">
        <v>712</v>
      </c>
      <c r="C95" s="6" t="s">
        <v>713</v>
      </c>
      <c r="D95" s="6" t="s">
        <v>714</v>
      </c>
      <c r="E95" s="5" t="s">
        <v>43</v>
      </c>
      <c r="F95" s="10">
        <v>0.006</v>
      </c>
      <c r="G95" s="10">
        <v>362.109</v>
      </c>
      <c r="H95" s="9">
        <v>2.33</v>
      </c>
    </row>
    <row r="96" ht="16.3" customHeight="1" spans="1:8">
      <c r="A96" s="5" t="s">
        <v>715</v>
      </c>
      <c r="B96" s="6" t="s">
        <v>716</v>
      </c>
      <c r="C96" s="6" t="s">
        <v>713</v>
      </c>
      <c r="D96" s="6" t="s">
        <v>717</v>
      </c>
      <c r="E96" s="5" t="s">
        <v>43</v>
      </c>
      <c r="F96" s="10">
        <v>0.237</v>
      </c>
      <c r="G96" s="10">
        <v>320.554</v>
      </c>
      <c r="H96" s="9">
        <v>75.91</v>
      </c>
    </row>
    <row r="97" ht="16.3" customHeight="1" spans="1:8">
      <c r="A97" s="5" t="s">
        <v>718</v>
      </c>
      <c r="B97" s="6" t="s">
        <v>719</v>
      </c>
      <c r="C97" s="6" t="s">
        <v>720</v>
      </c>
      <c r="D97" s="6" t="s">
        <v>721</v>
      </c>
      <c r="E97" s="5" t="s">
        <v>43</v>
      </c>
      <c r="F97" s="10">
        <v>0.046</v>
      </c>
      <c r="G97" s="10">
        <v>250.666</v>
      </c>
      <c r="H97" s="9">
        <v>11.55</v>
      </c>
    </row>
    <row r="98" ht="16.3" customHeight="1" spans="1:8">
      <c r="A98" s="5" t="s">
        <v>722</v>
      </c>
      <c r="B98" s="6" t="s">
        <v>723</v>
      </c>
      <c r="C98" s="6" t="s">
        <v>720</v>
      </c>
      <c r="D98" s="6" t="s">
        <v>724</v>
      </c>
      <c r="E98" s="5" t="s">
        <v>43</v>
      </c>
      <c r="F98" s="10">
        <v>4.449</v>
      </c>
      <c r="G98" s="10">
        <v>273.511</v>
      </c>
      <c r="H98" s="9">
        <v>1216.75</v>
      </c>
    </row>
    <row r="99" ht="16.3" customHeight="1" spans="1:8">
      <c r="A99" s="5" t="s">
        <v>725</v>
      </c>
      <c r="B99" s="6" t="s">
        <v>726</v>
      </c>
      <c r="C99" s="6" t="s">
        <v>727</v>
      </c>
      <c r="D99" s="6" t="s">
        <v>728</v>
      </c>
      <c r="E99" s="5" t="s">
        <v>43</v>
      </c>
      <c r="F99" s="10">
        <v>2.651</v>
      </c>
      <c r="G99" s="10">
        <v>290.6</v>
      </c>
      <c r="H99" s="9">
        <v>770.45</v>
      </c>
    </row>
    <row r="100" ht="16.3" customHeight="1" spans="1:8">
      <c r="A100" s="5" t="s">
        <v>729</v>
      </c>
      <c r="B100" s="6" t="s">
        <v>730</v>
      </c>
      <c r="C100" s="6" t="s">
        <v>731</v>
      </c>
      <c r="D100" s="6" t="s">
        <v>6</v>
      </c>
      <c r="E100" s="5" t="s">
        <v>43</v>
      </c>
      <c r="F100" s="10">
        <v>0.088</v>
      </c>
      <c r="G100" s="10">
        <v>577.752</v>
      </c>
      <c r="H100" s="9">
        <v>50.55</v>
      </c>
    </row>
    <row r="101" ht="27.9" customHeight="1" spans="1:8">
      <c r="A101" s="5" t="s">
        <v>732</v>
      </c>
      <c r="B101" s="6" t="s">
        <v>733</v>
      </c>
      <c r="C101" s="6" t="s">
        <v>734</v>
      </c>
      <c r="D101" s="6" t="s">
        <v>735</v>
      </c>
      <c r="E101" s="5" t="s">
        <v>43</v>
      </c>
      <c r="F101" s="10">
        <v>0.04</v>
      </c>
      <c r="G101" s="10">
        <v>250.161</v>
      </c>
      <c r="H101" s="9">
        <v>10.01</v>
      </c>
    </row>
    <row r="102" ht="27.9" customHeight="1" spans="1:8">
      <c r="A102" s="5" t="s">
        <v>736</v>
      </c>
      <c r="B102" s="6" t="s">
        <v>737</v>
      </c>
      <c r="C102" s="6" t="s">
        <v>738</v>
      </c>
      <c r="D102" s="6" t="s">
        <v>739</v>
      </c>
      <c r="E102" s="5" t="s">
        <v>43</v>
      </c>
      <c r="F102" s="10">
        <v>17.925</v>
      </c>
      <c r="G102" s="10">
        <v>204.144</v>
      </c>
      <c r="H102" s="9">
        <v>3659.26</v>
      </c>
    </row>
    <row r="103" ht="27.9" customHeight="1" spans="1:8">
      <c r="A103" s="5" t="s">
        <v>740</v>
      </c>
      <c r="B103" s="6" t="s">
        <v>741</v>
      </c>
      <c r="C103" s="6" t="s">
        <v>738</v>
      </c>
      <c r="D103" s="6" t="s">
        <v>742</v>
      </c>
      <c r="E103" s="5" t="s">
        <v>43</v>
      </c>
      <c r="F103" s="10">
        <v>94.936</v>
      </c>
      <c r="G103" s="10">
        <v>216.005</v>
      </c>
      <c r="H103" s="9">
        <v>20506.65</v>
      </c>
    </row>
    <row r="104" ht="27.9" customHeight="1" spans="1:8">
      <c r="A104" s="5" t="s">
        <v>743</v>
      </c>
      <c r="B104" s="6" t="s">
        <v>744</v>
      </c>
      <c r="C104" s="6" t="s">
        <v>738</v>
      </c>
      <c r="D104" s="6" t="s">
        <v>745</v>
      </c>
      <c r="E104" s="5" t="s">
        <v>43</v>
      </c>
      <c r="F104" s="10">
        <v>44.31</v>
      </c>
      <c r="G104" s="10">
        <v>244.114</v>
      </c>
      <c r="H104" s="9">
        <v>10816.65</v>
      </c>
    </row>
    <row r="105" ht="16.3" customHeight="1" spans="1:8">
      <c r="A105" s="5" t="s">
        <v>129</v>
      </c>
      <c r="B105" s="6" t="s">
        <v>6</v>
      </c>
      <c r="C105" s="5" t="s">
        <v>746</v>
      </c>
      <c r="D105" s="6" t="s">
        <v>6</v>
      </c>
      <c r="E105" s="5" t="s">
        <v>6</v>
      </c>
      <c r="F105" s="7" t="s">
        <v>6</v>
      </c>
      <c r="G105" s="7" t="s">
        <v>6</v>
      </c>
      <c r="H105" s="7" t="s">
        <v>6</v>
      </c>
    </row>
    <row r="106" ht="16.3" customHeight="1" spans="1:8">
      <c r="A106" s="5" t="s">
        <v>133</v>
      </c>
      <c r="B106" s="6" t="s">
        <v>6</v>
      </c>
      <c r="C106" s="5" t="s">
        <v>747</v>
      </c>
      <c r="D106" s="6" t="s">
        <v>6</v>
      </c>
      <c r="E106" s="5" t="s">
        <v>6</v>
      </c>
      <c r="F106" s="7" t="s">
        <v>6</v>
      </c>
      <c r="G106" s="7" t="s">
        <v>6</v>
      </c>
      <c r="H106" s="7" t="s">
        <v>6</v>
      </c>
    </row>
    <row r="107" ht="16.3" customHeight="1" spans="1:8">
      <c r="A107" s="5" t="s">
        <v>299</v>
      </c>
      <c r="B107" s="6" t="s">
        <v>748</v>
      </c>
      <c r="C107" s="6" t="s">
        <v>749</v>
      </c>
      <c r="D107" s="6" t="s">
        <v>750</v>
      </c>
      <c r="E107" s="5" t="s">
        <v>751</v>
      </c>
      <c r="F107" s="10">
        <v>0.5</v>
      </c>
      <c r="G107" s="10">
        <v>1374.669</v>
      </c>
      <c r="H107" s="9">
        <v>687.33</v>
      </c>
    </row>
    <row r="108" ht="16.3" customHeight="1" spans="1:8">
      <c r="A108" s="5" t="s">
        <v>307</v>
      </c>
      <c r="B108" s="6" t="s">
        <v>752</v>
      </c>
      <c r="C108" s="6" t="s">
        <v>749</v>
      </c>
      <c r="D108" s="6" t="s">
        <v>753</v>
      </c>
      <c r="E108" s="5" t="s">
        <v>751</v>
      </c>
      <c r="F108" s="10">
        <v>0.147</v>
      </c>
      <c r="G108" s="10">
        <v>1411.276</v>
      </c>
      <c r="H108" s="9">
        <v>207.2</v>
      </c>
    </row>
    <row r="109" ht="16.3" customHeight="1" spans="1:8">
      <c r="A109" s="5" t="s">
        <v>327</v>
      </c>
      <c r="B109" s="6" t="s">
        <v>754</v>
      </c>
      <c r="C109" s="6" t="s">
        <v>755</v>
      </c>
      <c r="D109" s="6" t="s">
        <v>756</v>
      </c>
      <c r="E109" s="5" t="s">
        <v>751</v>
      </c>
      <c r="F109" s="10">
        <v>0.127</v>
      </c>
      <c r="G109" s="10">
        <v>738.35</v>
      </c>
      <c r="H109" s="9">
        <v>93.7</v>
      </c>
    </row>
    <row r="110" ht="27.9" customHeight="1" spans="1:8">
      <c r="A110" s="5" t="s">
        <v>357</v>
      </c>
      <c r="B110" s="6" t="s">
        <v>757</v>
      </c>
      <c r="C110" s="6" t="s">
        <v>758</v>
      </c>
      <c r="D110" s="6" t="s">
        <v>759</v>
      </c>
      <c r="E110" s="5" t="s">
        <v>751</v>
      </c>
      <c r="F110" s="10">
        <v>2.687</v>
      </c>
      <c r="G110" s="10">
        <v>1711.2</v>
      </c>
      <c r="H110" s="9">
        <v>4597.54</v>
      </c>
    </row>
    <row r="111" ht="16.3" customHeight="1" spans="1:8">
      <c r="A111" s="5" t="s">
        <v>361</v>
      </c>
      <c r="B111" s="6" t="s">
        <v>760</v>
      </c>
      <c r="C111" s="6" t="s">
        <v>761</v>
      </c>
      <c r="D111" s="6" t="s">
        <v>762</v>
      </c>
      <c r="E111" s="5" t="s">
        <v>751</v>
      </c>
      <c r="F111" s="10">
        <v>0.884</v>
      </c>
      <c r="G111" s="10">
        <v>258.366</v>
      </c>
      <c r="H111" s="9">
        <v>228.33</v>
      </c>
    </row>
    <row r="112" ht="27.9" customHeight="1" spans="1:8">
      <c r="A112" s="5" t="s">
        <v>365</v>
      </c>
      <c r="B112" s="6" t="s">
        <v>763</v>
      </c>
      <c r="C112" s="6" t="s">
        <v>764</v>
      </c>
      <c r="D112" s="6" t="s">
        <v>765</v>
      </c>
      <c r="E112" s="5" t="s">
        <v>751</v>
      </c>
      <c r="F112" s="10">
        <v>2.818</v>
      </c>
      <c r="G112" s="10">
        <v>416.812</v>
      </c>
      <c r="H112" s="9">
        <v>1174.37</v>
      </c>
    </row>
    <row r="113" ht="16.3" customHeight="1" spans="1:8">
      <c r="A113" s="5" t="s">
        <v>368</v>
      </c>
      <c r="B113" s="6" t="s">
        <v>766</v>
      </c>
      <c r="C113" s="6" t="s">
        <v>767</v>
      </c>
      <c r="D113" s="6" t="s">
        <v>768</v>
      </c>
      <c r="E113" s="5" t="s">
        <v>751</v>
      </c>
      <c r="F113" s="10">
        <v>0.455</v>
      </c>
      <c r="G113" s="10">
        <v>166.768</v>
      </c>
      <c r="H113" s="9">
        <v>75.88</v>
      </c>
    </row>
    <row r="114" ht="16.3" customHeight="1" spans="1:8">
      <c r="A114" s="5" t="s">
        <v>373</v>
      </c>
      <c r="B114" s="6" t="s">
        <v>769</v>
      </c>
      <c r="C114" s="6" t="s">
        <v>770</v>
      </c>
      <c r="D114" s="6" t="s">
        <v>771</v>
      </c>
      <c r="E114" s="5" t="s">
        <v>751</v>
      </c>
      <c r="F114" s="10">
        <v>0.206</v>
      </c>
      <c r="G114" s="10">
        <v>870.567</v>
      </c>
      <c r="H114" s="9">
        <v>178.94</v>
      </c>
    </row>
    <row r="115" ht="16.3" customHeight="1" spans="1:8">
      <c r="A115" s="5" t="s">
        <v>377</v>
      </c>
      <c r="B115" s="6" t="s">
        <v>772</v>
      </c>
      <c r="C115" s="6" t="s">
        <v>773</v>
      </c>
      <c r="D115" s="6" t="s">
        <v>774</v>
      </c>
      <c r="E115" s="5" t="s">
        <v>751</v>
      </c>
      <c r="F115" s="10">
        <v>5.964</v>
      </c>
      <c r="G115" s="10">
        <v>528.482</v>
      </c>
      <c r="H115" s="9">
        <v>3152.08</v>
      </c>
    </row>
    <row r="116" ht="16.3" customHeight="1" spans="1:8">
      <c r="A116" s="5" t="s">
        <v>381</v>
      </c>
      <c r="B116" s="6" t="s">
        <v>775</v>
      </c>
      <c r="C116" s="6" t="s">
        <v>773</v>
      </c>
      <c r="D116" s="6" t="s">
        <v>776</v>
      </c>
      <c r="E116" s="5" t="s">
        <v>751</v>
      </c>
      <c r="F116" s="10">
        <v>0.102</v>
      </c>
      <c r="G116" s="10">
        <v>544.119</v>
      </c>
      <c r="H116" s="9">
        <v>55.66</v>
      </c>
    </row>
    <row r="117" ht="16.3" customHeight="1" spans="1:8">
      <c r="A117" s="5" t="s">
        <v>385</v>
      </c>
      <c r="B117" s="6" t="s">
        <v>777</v>
      </c>
      <c r="C117" s="6" t="s">
        <v>773</v>
      </c>
      <c r="D117" s="6" t="s">
        <v>778</v>
      </c>
      <c r="E117" s="5" t="s">
        <v>751</v>
      </c>
      <c r="F117" s="10">
        <v>0.358</v>
      </c>
      <c r="G117" s="10">
        <v>563.608</v>
      </c>
      <c r="H117" s="9">
        <v>201.78</v>
      </c>
    </row>
    <row r="118" ht="25.6" customHeight="1" spans="1:8">
      <c r="A118" s="1" t="s">
        <v>472</v>
      </c>
      <c r="B118" s="1"/>
      <c r="C118" s="1"/>
      <c r="D118" s="1"/>
      <c r="E118" s="1"/>
      <c r="F118" s="1"/>
      <c r="G118" s="1"/>
      <c r="H118" s="1"/>
    </row>
    <row r="119" ht="17.85" customHeight="1" spans="1:8">
      <c r="A119" s="2" t="s">
        <v>6</v>
      </c>
      <c r="B119" s="2"/>
      <c r="C119" s="2"/>
      <c r="D119" s="2"/>
      <c r="E119" s="2"/>
      <c r="F119" s="2"/>
      <c r="G119" s="2"/>
      <c r="H119" s="2"/>
    </row>
    <row r="120" ht="17.05" customHeight="1" spans="1:8">
      <c r="A120" s="3" t="s">
        <v>21</v>
      </c>
      <c r="B120" s="3"/>
      <c r="C120" s="3"/>
      <c r="D120" s="3"/>
      <c r="E120" s="3"/>
      <c r="F120" s="3"/>
      <c r="G120" s="2" t="s">
        <v>779</v>
      </c>
      <c r="H120" s="2"/>
    </row>
    <row r="121" ht="31" customHeight="1" spans="1:8">
      <c r="A121" s="4" t="s">
        <v>25</v>
      </c>
      <c r="B121" s="4" t="s">
        <v>474</v>
      </c>
      <c r="C121" s="4" t="s">
        <v>475</v>
      </c>
      <c r="D121" s="4" t="s">
        <v>476</v>
      </c>
      <c r="E121" s="4" t="s">
        <v>477</v>
      </c>
      <c r="F121" s="5" t="s">
        <v>478</v>
      </c>
      <c r="G121" s="4" t="s">
        <v>479</v>
      </c>
      <c r="H121" s="5" t="s">
        <v>346</v>
      </c>
    </row>
    <row r="122" ht="16.3" customHeight="1" spans="1:8">
      <c r="A122" s="5" t="s">
        <v>389</v>
      </c>
      <c r="B122" s="6" t="s">
        <v>780</v>
      </c>
      <c r="C122" s="6" t="s">
        <v>773</v>
      </c>
      <c r="D122" s="6" t="s">
        <v>781</v>
      </c>
      <c r="E122" s="5" t="s">
        <v>751</v>
      </c>
      <c r="F122" s="10">
        <v>0.136</v>
      </c>
      <c r="G122" s="10">
        <v>622.386</v>
      </c>
      <c r="H122" s="9">
        <v>84.49</v>
      </c>
    </row>
    <row r="123" ht="16.3" customHeight="1" spans="1:8">
      <c r="A123" s="5" t="s">
        <v>393</v>
      </c>
      <c r="B123" s="6" t="s">
        <v>782</v>
      </c>
      <c r="C123" s="6" t="s">
        <v>783</v>
      </c>
      <c r="D123" s="6" t="s">
        <v>784</v>
      </c>
      <c r="E123" s="5" t="s">
        <v>751</v>
      </c>
      <c r="F123" s="10">
        <v>0.805</v>
      </c>
      <c r="G123" s="10">
        <v>955.248</v>
      </c>
      <c r="H123" s="9">
        <v>769.25</v>
      </c>
    </row>
    <row r="124" ht="16.3" customHeight="1" spans="1:8">
      <c r="A124" s="5" t="s">
        <v>397</v>
      </c>
      <c r="B124" s="6" t="s">
        <v>785</v>
      </c>
      <c r="C124" s="6" t="s">
        <v>786</v>
      </c>
      <c r="D124" s="6" t="s">
        <v>787</v>
      </c>
      <c r="E124" s="5" t="s">
        <v>751</v>
      </c>
      <c r="F124" s="10">
        <v>6.882</v>
      </c>
      <c r="G124" s="10">
        <v>1171.151</v>
      </c>
      <c r="H124" s="9">
        <v>8060.07</v>
      </c>
    </row>
    <row r="125" ht="16.3" customHeight="1" spans="1:8">
      <c r="A125" s="5" t="s">
        <v>402</v>
      </c>
      <c r="B125" s="6" t="s">
        <v>788</v>
      </c>
      <c r="C125" s="6" t="s">
        <v>786</v>
      </c>
      <c r="D125" s="6" t="s">
        <v>789</v>
      </c>
      <c r="E125" s="5" t="s">
        <v>751</v>
      </c>
      <c r="F125" s="10">
        <v>0.5</v>
      </c>
      <c r="G125" s="10">
        <v>1533.71</v>
      </c>
      <c r="H125" s="9">
        <v>766.86</v>
      </c>
    </row>
    <row r="126" ht="16.3" customHeight="1" spans="1:8">
      <c r="A126" s="5" t="s">
        <v>406</v>
      </c>
      <c r="B126" s="6" t="s">
        <v>790</v>
      </c>
      <c r="C126" s="6" t="s">
        <v>791</v>
      </c>
      <c r="D126" s="6" t="s">
        <v>792</v>
      </c>
      <c r="E126" s="5" t="s">
        <v>751</v>
      </c>
      <c r="F126" s="10">
        <v>37.164</v>
      </c>
      <c r="G126" s="10">
        <v>80.367</v>
      </c>
      <c r="H126" s="9">
        <v>2986.74</v>
      </c>
    </row>
    <row r="127" ht="16.3" customHeight="1" spans="1:8">
      <c r="A127" s="5" t="s">
        <v>410</v>
      </c>
      <c r="B127" s="6" t="s">
        <v>793</v>
      </c>
      <c r="C127" s="6" t="s">
        <v>794</v>
      </c>
      <c r="D127" s="6" t="s">
        <v>795</v>
      </c>
      <c r="E127" s="5" t="s">
        <v>751</v>
      </c>
      <c r="F127" s="10">
        <v>0.56</v>
      </c>
      <c r="G127" s="10">
        <v>499.077</v>
      </c>
      <c r="H127" s="9">
        <v>279.47</v>
      </c>
    </row>
    <row r="128" ht="16.3" customHeight="1" spans="1:8">
      <c r="A128" s="5" t="s">
        <v>413</v>
      </c>
      <c r="B128" s="6" t="s">
        <v>796</v>
      </c>
      <c r="C128" s="6" t="s">
        <v>794</v>
      </c>
      <c r="D128" s="6" t="s">
        <v>797</v>
      </c>
      <c r="E128" s="5" t="s">
        <v>751</v>
      </c>
      <c r="F128" s="10">
        <v>22.32</v>
      </c>
      <c r="G128" s="10">
        <v>1182.325</v>
      </c>
      <c r="H128" s="9">
        <v>26389.26</v>
      </c>
    </row>
    <row r="129" ht="16.3" customHeight="1" spans="1:8">
      <c r="A129" s="5" t="s">
        <v>417</v>
      </c>
      <c r="B129" s="6" t="s">
        <v>798</v>
      </c>
      <c r="C129" s="6" t="s">
        <v>799</v>
      </c>
      <c r="D129" s="6" t="s">
        <v>800</v>
      </c>
      <c r="E129" s="5" t="s">
        <v>751</v>
      </c>
      <c r="F129" s="10">
        <v>30.294</v>
      </c>
      <c r="G129" s="10">
        <v>510.334</v>
      </c>
      <c r="H129" s="9">
        <v>15459.99</v>
      </c>
    </row>
    <row r="130" ht="16.3" customHeight="1" spans="1:8">
      <c r="A130" s="5" t="s">
        <v>421</v>
      </c>
      <c r="B130" s="6" t="s">
        <v>801</v>
      </c>
      <c r="C130" s="6" t="s">
        <v>799</v>
      </c>
      <c r="D130" s="6" t="s">
        <v>802</v>
      </c>
      <c r="E130" s="5" t="s">
        <v>751</v>
      </c>
      <c r="F130" s="10">
        <v>11.491</v>
      </c>
      <c r="G130" s="10">
        <v>681.529</v>
      </c>
      <c r="H130" s="9">
        <v>7831.3</v>
      </c>
    </row>
    <row r="131" ht="16.3" customHeight="1" spans="1:8">
      <c r="A131" s="5" t="s">
        <v>426</v>
      </c>
      <c r="B131" s="6" t="s">
        <v>803</v>
      </c>
      <c r="C131" s="6" t="s">
        <v>804</v>
      </c>
      <c r="D131" s="6" t="s">
        <v>805</v>
      </c>
      <c r="E131" s="5" t="s">
        <v>751</v>
      </c>
      <c r="F131" s="10">
        <v>0.341</v>
      </c>
      <c r="G131" s="10">
        <v>27.16</v>
      </c>
      <c r="H131" s="9">
        <v>9.27</v>
      </c>
    </row>
    <row r="132" ht="16.3" customHeight="1" spans="1:8">
      <c r="A132" s="5" t="s">
        <v>430</v>
      </c>
      <c r="B132" s="6" t="s">
        <v>806</v>
      </c>
      <c r="C132" s="6" t="s">
        <v>807</v>
      </c>
      <c r="D132" s="6" t="s">
        <v>808</v>
      </c>
      <c r="E132" s="5" t="s">
        <v>751</v>
      </c>
      <c r="F132" s="10">
        <v>0.134</v>
      </c>
      <c r="G132" s="10">
        <v>38.824</v>
      </c>
      <c r="H132" s="9">
        <v>5.21</v>
      </c>
    </row>
    <row r="133" ht="16.3" customHeight="1" spans="1:8">
      <c r="A133" s="5" t="s">
        <v>434</v>
      </c>
      <c r="B133" s="6" t="s">
        <v>809</v>
      </c>
      <c r="C133" s="6" t="s">
        <v>810</v>
      </c>
      <c r="D133" s="6" t="s">
        <v>808</v>
      </c>
      <c r="E133" s="5" t="s">
        <v>751</v>
      </c>
      <c r="F133" s="10">
        <v>0.07</v>
      </c>
      <c r="G133" s="10">
        <v>23.829</v>
      </c>
      <c r="H133" s="9">
        <v>1.66</v>
      </c>
    </row>
    <row r="134" ht="16.3" customHeight="1" spans="1:8">
      <c r="A134" s="5" t="s">
        <v>438</v>
      </c>
      <c r="B134" s="6" t="s">
        <v>811</v>
      </c>
      <c r="C134" s="6" t="s">
        <v>812</v>
      </c>
      <c r="D134" s="6" t="s">
        <v>6</v>
      </c>
      <c r="E134" s="5" t="s">
        <v>751</v>
      </c>
      <c r="F134" s="10">
        <v>9.402</v>
      </c>
      <c r="G134" s="10">
        <v>138.46</v>
      </c>
      <c r="H134" s="9">
        <v>1301.74</v>
      </c>
    </row>
    <row r="135" ht="16.3" customHeight="1" spans="1:8">
      <c r="A135" s="5" t="s">
        <v>444</v>
      </c>
      <c r="B135" s="6" t="s">
        <v>813</v>
      </c>
      <c r="C135" s="6" t="s">
        <v>814</v>
      </c>
      <c r="D135" s="6" t="s">
        <v>815</v>
      </c>
      <c r="E135" s="5" t="s">
        <v>751</v>
      </c>
      <c r="F135" s="10">
        <v>3.687</v>
      </c>
      <c r="G135" s="10">
        <v>134.38</v>
      </c>
      <c r="H135" s="9">
        <v>495.44</v>
      </c>
    </row>
    <row r="136" ht="16.3" customHeight="1" spans="1:8">
      <c r="A136" s="5" t="s">
        <v>448</v>
      </c>
      <c r="B136" s="6" t="s">
        <v>816</v>
      </c>
      <c r="C136" s="6" t="s">
        <v>817</v>
      </c>
      <c r="D136" s="6" t="s">
        <v>818</v>
      </c>
      <c r="E136" s="5" t="s">
        <v>751</v>
      </c>
      <c r="F136" s="10">
        <v>3.687</v>
      </c>
      <c r="G136" s="10">
        <v>306.09</v>
      </c>
      <c r="H136" s="9">
        <v>1128.52</v>
      </c>
    </row>
    <row r="137" ht="16.3" customHeight="1" spans="1:8">
      <c r="A137" s="5" t="s">
        <v>453</v>
      </c>
      <c r="B137" s="6" t="s">
        <v>819</v>
      </c>
      <c r="C137" s="6" t="s">
        <v>820</v>
      </c>
      <c r="D137" s="6" t="s">
        <v>821</v>
      </c>
      <c r="E137" s="5" t="s">
        <v>751</v>
      </c>
      <c r="F137" s="10">
        <v>3.687</v>
      </c>
      <c r="G137" s="10">
        <v>235.6</v>
      </c>
      <c r="H137" s="9">
        <v>868.63</v>
      </c>
    </row>
    <row r="138" ht="16.3" customHeight="1" spans="1:8">
      <c r="A138" s="5" t="s">
        <v>547</v>
      </c>
      <c r="B138" s="6" t="s">
        <v>822</v>
      </c>
      <c r="C138" s="6" t="s">
        <v>823</v>
      </c>
      <c r="D138" s="6" t="s">
        <v>824</v>
      </c>
      <c r="E138" s="5" t="s">
        <v>751</v>
      </c>
      <c r="F138" s="10">
        <v>6.145</v>
      </c>
      <c r="G138" s="10">
        <v>722.053</v>
      </c>
      <c r="H138" s="9">
        <v>4436.87</v>
      </c>
    </row>
    <row r="139" ht="16.3" customHeight="1" spans="1:8">
      <c r="A139" s="5" t="s">
        <v>551</v>
      </c>
      <c r="B139" s="6" t="s">
        <v>825</v>
      </c>
      <c r="C139" s="6" t="s">
        <v>826</v>
      </c>
      <c r="D139" s="6" t="s">
        <v>827</v>
      </c>
      <c r="E139" s="5" t="s">
        <v>751</v>
      </c>
      <c r="F139" s="10">
        <v>15.372</v>
      </c>
      <c r="G139" s="10">
        <v>76.558</v>
      </c>
      <c r="H139" s="9">
        <v>1176.85</v>
      </c>
    </row>
    <row r="140" ht="16.3" customHeight="1" spans="1:8">
      <c r="A140" s="5" t="s">
        <v>554</v>
      </c>
      <c r="B140" s="6" t="s">
        <v>828</v>
      </c>
      <c r="C140" s="6" t="s">
        <v>829</v>
      </c>
      <c r="D140" s="6" t="s">
        <v>830</v>
      </c>
      <c r="E140" s="5" t="s">
        <v>751</v>
      </c>
      <c r="F140" s="10">
        <v>13.58</v>
      </c>
      <c r="G140" s="10">
        <v>674.596</v>
      </c>
      <c r="H140" s="9">
        <v>9161.02</v>
      </c>
    </row>
    <row r="141" ht="16.3" customHeight="1" spans="1:8">
      <c r="A141" s="5" t="s">
        <v>557</v>
      </c>
      <c r="B141" s="6" t="s">
        <v>831</v>
      </c>
      <c r="C141" s="6" t="s">
        <v>832</v>
      </c>
      <c r="D141" s="6" t="s">
        <v>833</v>
      </c>
      <c r="E141" s="5" t="s">
        <v>751</v>
      </c>
      <c r="F141" s="10">
        <v>12.29</v>
      </c>
      <c r="G141" s="10">
        <v>362.97</v>
      </c>
      <c r="H141" s="9">
        <v>4460.76</v>
      </c>
    </row>
    <row r="142" ht="16.3" customHeight="1" spans="1:8">
      <c r="A142" s="5" t="s">
        <v>560</v>
      </c>
      <c r="B142" s="6" t="s">
        <v>834</v>
      </c>
      <c r="C142" s="6" t="s">
        <v>835</v>
      </c>
      <c r="D142" s="6" t="s">
        <v>836</v>
      </c>
      <c r="E142" s="5" t="s">
        <v>751</v>
      </c>
      <c r="F142" s="10">
        <v>12.29</v>
      </c>
      <c r="G142" s="10">
        <v>376.84</v>
      </c>
      <c r="H142" s="9">
        <v>4631.21</v>
      </c>
    </row>
    <row r="143" ht="16.3" customHeight="1" spans="1:8">
      <c r="A143" s="5" t="s">
        <v>564</v>
      </c>
      <c r="B143" s="6" t="s">
        <v>837</v>
      </c>
      <c r="C143" s="6" t="s">
        <v>838</v>
      </c>
      <c r="D143" s="6" t="s">
        <v>6</v>
      </c>
      <c r="E143" s="5" t="s">
        <v>751</v>
      </c>
      <c r="F143" s="10">
        <v>1.759</v>
      </c>
      <c r="G143" s="10">
        <v>17</v>
      </c>
      <c r="H143" s="9">
        <v>29.9</v>
      </c>
    </row>
    <row r="144" ht="16.3" customHeight="1" spans="1:8">
      <c r="A144" s="5" t="s">
        <v>568</v>
      </c>
      <c r="B144" s="6" t="s">
        <v>839</v>
      </c>
      <c r="C144" s="6" t="s">
        <v>840</v>
      </c>
      <c r="D144" s="6" t="s">
        <v>841</v>
      </c>
      <c r="E144" s="5" t="s">
        <v>751</v>
      </c>
      <c r="F144" s="10">
        <v>1.747</v>
      </c>
      <c r="G144" s="10">
        <v>23.964</v>
      </c>
      <c r="H144" s="9">
        <v>41.87</v>
      </c>
    </row>
    <row r="145" ht="16.3" customHeight="1" spans="1:8">
      <c r="A145" s="5" t="s">
        <v>571</v>
      </c>
      <c r="B145" s="6" t="s">
        <v>842</v>
      </c>
      <c r="C145" s="6" t="s">
        <v>843</v>
      </c>
      <c r="D145" s="6" t="s">
        <v>844</v>
      </c>
      <c r="E145" s="5" t="s">
        <v>751</v>
      </c>
      <c r="F145" s="10">
        <v>16.378</v>
      </c>
      <c r="G145" s="10">
        <v>219.68</v>
      </c>
      <c r="H145" s="9">
        <v>3597.98</v>
      </c>
    </row>
    <row r="146" ht="16.3" customHeight="1" spans="1:8">
      <c r="A146" s="5" t="s">
        <v>574</v>
      </c>
      <c r="B146" s="6" t="s">
        <v>845</v>
      </c>
      <c r="C146" s="6" t="s">
        <v>846</v>
      </c>
      <c r="D146" s="6" t="s">
        <v>847</v>
      </c>
      <c r="E146" s="5" t="s">
        <v>751</v>
      </c>
      <c r="F146" s="10">
        <v>1.647</v>
      </c>
      <c r="G146" s="10">
        <v>54.398</v>
      </c>
      <c r="H146" s="9">
        <v>89.59</v>
      </c>
    </row>
    <row r="147" ht="16.3" customHeight="1" spans="1:8">
      <c r="A147" s="5" t="s">
        <v>578</v>
      </c>
      <c r="B147" s="6" t="s">
        <v>848</v>
      </c>
      <c r="C147" s="6" t="s">
        <v>846</v>
      </c>
      <c r="D147" s="6" t="s">
        <v>849</v>
      </c>
      <c r="E147" s="5" t="s">
        <v>751</v>
      </c>
      <c r="F147" s="10">
        <v>0.205</v>
      </c>
      <c r="G147" s="10">
        <v>89.46</v>
      </c>
      <c r="H147" s="9">
        <v>18.29</v>
      </c>
    </row>
    <row r="148" ht="16.3" customHeight="1" spans="1:8">
      <c r="A148" s="5" t="s">
        <v>581</v>
      </c>
      <c r="B148" s="6" t="s">
        <v>850</v>
      </c>
      <c r="C148" s="6" t="s">
        <v>851</v>
      </c>
      <c r="D148" s="6" t="s">
        <v>852</v>
      </c>
      <c r="E148" s="5" t="s">
        <v>751</v>
      </c>
      <c r="F148" s="10">
        <v>6.391</v>
      </c>
      <c r="G148" s="10">
        <v>83.653</v>
      </c>
      <c r="H148" s="9">
        <v>534.63</v>
      </c>
    </row>
    <row r="149" ht="16.3" customHeight="1" spans="1:8">
      <c r="A149" s="5" t="s">
        <v>585</v>
      </c>
      <c r="B149" s="6" t="s">
        <v>853</v>
      </c>
      <c r="C149" s="6" t="s">
        <v>854</v>
      </c>
      <c r="D149" s="6" t="s">
        <v>855</v>
      </c>
      <c r="E149" s="5" t="s">
        <v>751</v>
      </c>
      <c r="F149" s="10">
        <v>0.037</v>
      </c>
      <c r="G149" s="10">
        <v>102.38</v>
      </c>
      <c r="H149" s="9">
        <v>3.77</v>
      </c>
    </row>
    <row r="150" ht="16.3" customHeight="1" spans="1:8">
      <c r="A150" s="5" t="s">
        <v>588</v>
      </c>
      <c r="B150" s="6" t="s">
        <v>856</v>
      </c>
      <c r="C150" s="6" t="s">
        <v>857</v>
      </c>
      <c r="D150" s="6" t="s">
        <v>858</v>
      </c>
      <c r="E150" s="5" t="s">
        <v>751</v>
      </c>
      <c r="F150" s="10">
        <v>60.822</v>
      </c>
      <c r="G150" s="10">
        <v>119.267</v>
      </c>
      <c r="H150" s="9">
        <v>7254.02</v>
      </c>
    </row>
    <row r="151" ht="16.3" customHeight="1" spans="1:8">
      <c r="A151" s="5" t="s">
        <v>591</v>
      </c>
      <c r="B151" s="6" t="s">
        <v>859</v>
      </c>
      <c r="C151" s="6" t="s">
        <v>860</v>
      </c>
      <c r="D151" s="6" t="s">
        <v>861</v>
      </c>
      <c r="E151" s="5" t="s">
        <v>751</v>
      </c>
      <c r="F151" s="10">
        <v>24.579</v>
      </c>
      <c r="G151" s="10">
        <v>111.18</v>
      </c>
      <c r="H151" s="9">
        <v>2732.72</v>
      </c>
    </row>
    <row r="152" ht="16.3" customHeight="1" spans="1:8">
      <c r="A152" s="5" t="s">
        <v>594</v>
      </c>
      <c r="B152" s="6" t="s">
        <v>862</v>
      </c>
      <c r="C152" s="6" t="s">
        <v>863</v>
      </c>
      <c r="D152" s="6" t="s">
        <v>864</v>
      </c>
      <c r="E152" s="5" t="s">
        <v>751</v>
      </c>
      <c r="F152" s="10">
        <v>33.785</v>
      </c>
      <c r="G152" s="10">
        <v>279.03</v>
      </c>
      <c r="H152" s="9">
        <v>9426.91</v>
      </c>
    </row>
    <row r="153" ht="16.3" customHeight="1" spans="1:8">
      <c r="A153" s="5" t="s">
        <v>598</v>
      </c>
      <c r="B153" s="6" t="s">
        <v>865</v>
      </c>
      <c r="C153" s="6" t="s">
        <v>866</v>
      </c>
      <c r="D153" s="6" t="s">
        <v>867</v>
      </c>
      <c r="E153" s="5" t="s">
        <v>751</v>
      </c>
      <c r="F153" s="10">
        <v>12.29</v>
      </c>
      <c r="G153" s="10">
        <v>38.97</v>
      </c>
      <c r="H153" s="9">
        <v>478.93</v>
      </c>
    </row>
    <row r="154" ht="16.3" customHeight="1" spans="1:8">
      <c r="A154" s="5" t="s">
        <v>602</v>
      </c>
      <c r="B154" s="6" t="s">
        <v>868</v>
      </c>
      <c r="C154" s="6" t="s">
        <v>869</v>
      </c>
      <c r="D154" s="6" t="s">
        <v>870</v>
      </c>
      <c r="E154" s="5" t="s">
        <v>751</v>
      </c>
      <c r="F154" s="10">
        <v>0.699</v>
      </c>
      <c r="G154" s="10">
        <v>595.586</v>
      </c>
      <c r="H154" s="9">
        <v>416.12</v>
      </c>
    </row>
    <row r="155" ht="16.3" customHeight="1" spans="1:8">
      <c r="A155" s="5" t="s">
        <v>604</v>
      </c>
      <c r="B155" s="6" t="s">
        <v>871</v>
      </c>
      <c r="C155" s="6" t="s">
        <v>872</v>
      </c>
      <c r="D155" s="6" t="s">
        <v>873</v>
      </c>
      <c r="E155" s="5" t="s">
        <v>751</v>
      </c>
      <c r="F155" s="10">
        <v>11.262</v>
      </c>
      <c r="G155" s="10">
        <v>341.133</v>
      </c>
      <c r="H155" s="9">
        <v>3841.68</v>
      </c>
    </row>
    <row r="156" ht="16.3" customHeight="1" spans="1:8">
      <c r="A156" s="5" t="s">
        <v>607</v>
      </c>
      <c r="B156" s="6" t="s">
        <v>874</v>
      </c>
      <c r="C156" s="6" t="s">
        <v>875</v>
      </c>
      <c r="D156" s="6" t="s">
        <v>6</v>
      </c>
      <c r="E156" s="5" t="s">
        <v>751</v>
      </c>
      <c r="F156" s="10">
        <v>12.29</v>
      </c>
      <c r="G156" s="10">
        <v>59.56</v>
      </c>
      <c r="H156" s="9">
        <v>731.97</v>
      </c>
    </row>
    <row r="157" ht="16.3" customHeight="1" spans="1:8">
      <c r="A157" s="5" t="s">
        <v>610</v>
      </c>
      <c r="B157" s="6" t="s">
        <v>876</v>
      </c>
      <c r="C157" s="6" t="s">
        <v>877</v>
      </c>
      <c r="D157" s="6" t="s">
        <v>878</v>
      </c>
      <c r="E157" s="5" t="s">
        <v>751</v>
      </c>
      <c r="F157" s="10">
        <v>0.639</v>
      </c>
      <c r="G157" s="10">
        <v>15.83</v>
      </c>
      <c r="H157" s="9">
        <v>10.12</v>
      </c>
    </row>
  </sheetData>
  <mergeCells count="16">
    <mergeCell ref="A1:H1"/>
    <mergeCell ref="A2:H2"/>
    <mergeCell ref="A3:F3"/>
    <mergeCell ref="G3:H3"/>
    <mergeCell ref="A40:H40"/>
    <mergeCell ref="A41:H41"/>
    <mergeCell ref="A42:F42"/>
    <mergeCell ref="G42:H42"/>
    <mergeCell ref="A80:H80"/>
    <mergeCell ref="A81:H81"/>
    <mergeCell ref="A82:F82"/>
    <mergeCell ref="G82:H82"/>
    <mergeCell ref="A118:H118"/>
    <mergeCell ref="A119:H119"/>
    <mergeCell ref="A120:F120"/>
    <mergeCell ref="G120:H120"/>
  </mergeCells>
  <pageMargins left="0.78740157480315" right="0" top="0.78740157480315" bottom="0" header="0" footer="0"/>
  <pageSetup paperSize="9" orientation="portrait"/>
  <headerFooter/>
  <rowBreaks count="3" manualBreakCount="3">
    <brk id="39" max="16383" man="1"/>
    <brk id="79" max="16383" man="1"/>
    <brk id="11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9" master="" otherUserPermission="visible">
    <arrUserId title="区域1_5_1" rangeCreator="" othersAccessPermission="edit"/>
    <arrUserId title="区域1_1_1_1" rangeCreator="" othersAccessPermission="edit"/>
    <arrUserId title="区域1_4_2_1" rangeCreator="" othersAccessPermission="edit"/>
    <arrUserId title="区域1_1_1" rangeCreator="" othersAccessPermission="edit"/>
    <arrUserId title="区域1_1_1_2" rangeCreator="" othersAccessPermission="edit"/>
    <arrUserId title="区域1_3_1_1" rangeCreator="" othersAccessPermission="edit"/>
  </rangeList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概算书</vt:lpstr>
      <vt:lpstr>概算汇总表</vt:lpstr>
      <vt:lpstr>表2工程项目造价汇总表</vt:lpstr>
      <vt:lpstr>表3单项工程造价汇总表</vt:lpstr>
      <vt:lpstr>表4单位工程造价汇总表</vt:lpstr>
      <vt:lpstr>表5分部分项工程量清单与计价表</vt:lpstr>
      <vt:lpstr>表6总价措施项目清单与计价表</vt:lpstr>
      <vt:lpstr>表7单价措施项目清单与计价表</vt:lpstr>
      <vt:lpstr>表14人工、材料设备、机械汇总表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dcterms:created xsi:type="dcterms:W3CDTF">2026-06-24T17:25:00Z</dcterms:created>
  <dcterms:modified xsi:type="dcterms:W3CDTF">2026-09-20T09:16:24Z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C0CD054226A04C95B1AB5B33AC7F44F8_13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