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存档\拟文\"/>
    </mc:Choice>
  </mc:AlternateContent>
  <bookViews>
    <workbookView windowWidth="19935" windowHeight="11010" tabRatio="832" firstSheet="1" activeTab="1"/>
  </bookViews>
  <sheets>
    <sheet name="Macro1" sheetId="9" state="veryHidden" r:id="rId1"/>
    <sheet name="概算" sheetId="15" r:id="rId2"/>
    <sheet name="其他费用计算表" sheetId="25" r:id="rId3"/>
    <sheet name="表2表3" sheetId="17" r:id="rId4"/>
    <sheet name="市政不打印" sheetId="24" state="hidden" r:id="rId5"/>
  </sheets>
  <externalReferences>
    <externalReference r:id="rId6"/>
    <externalReference r:id="rId7"/>
    <externalReference r:id="rId8"/>
  </externalReferences>
  <definedNames>
    <definedName name="_xlnm.Print_Area" localSheetId="1">概算!$A$1:$N$36</definedName>
    <definedName name="_xlnm.Print_Titles" localSheetId="1">概算!$1:$5</definedName>
    <definedName name="工程费用" localSheetId="1">概算!#REF!</definedName>
    <definedName name="工程费用">#REF!</definedName>
    <definedName name="工程费用" localSheetId="3">[2]表1!$G$18</definedName>
    <definedName name="_xlnm.Print_Area" localSheetId="3">表2表3!$A$1:$O$27</definedName>
    <definedName name="安装工程费">[2]表1!$D$18</definedName>
    <definedName name="房屋拆迁费">#REF!</definedName>
    <definedName name="钢材">#REF!</definedName>
    <definedName name="钢绞线">#REF!</definedName>
    <definedName name="工程建设其他费">[2]表1!#REF!</definedName>
    <definedName name="工程名称">#REF!</definedName>
    <definedName name="工程所在地">#REF!</definedName>
    <definedName name="工程总投资">[2]表1!#REF!</definedName>
    <definedName name="环评成果形式">#REF!</definedName>
    <definedName name="环评敏感程度">#REF!</definedName>
    <definedName name="环评专业属性">#REF!</definedName>
    <definedName name="监理复杂度">#REF!</definedName>
    <definedName name="监理工程类别">#REF!</definedName>
    <definedName name="监理海拔">#REF!</definedName>
    <definedName name="建贷或融资费">[2]表1!#REF!</definedName>
    <definedName name="建设单位管理费">[2]表1!$G$44</definedName>
    <definedName name="建设期贷款利息">#REF!</definedName>
    <definedName name="建设期融资费用">#REF!</definedName>
    <definedName name="建设用地费">[2]表1!#REF!</definedName>
    <definedName name="建筑工程费">[2]表1!$C$18</definedName>
    <definedName name="静态投资" localSheetId="3">[1]表1!#REF!</definedName>
    <definedName name="勘察费">[2]表1!$G$50</definedName>
    <definedName name="沥青">#REF!</definedName>
    <definedName name="联合试运转费">[2]表1!$G$60</definedName>
    <definedName name="木材">#REF!</definedName>
    <definedName name="铺底流动资金">[2]表1!#REF!</definedName>
    <definedName name="设备购置费">[2]表1!$E$18</definedName>
    <definedName name="设计前期咨询费工程属性">#REF!</definedName>
    <definedName name="是否政府投资项目">#REF!</definedName>
    <definedName name="水泥">#REF!</definedName>
    <definedName name="土地征用费">#REF!</definedName>
    <definedName name="预备费">[2]表1!#REF!</definedName>
    <definedName name="专业性质">#REF!</definedName>
    <definedName name="_xlnm.Print_Area" localSheetId="4">市政不打印!$A$1:$L$143</definedName>
    <definedName name="_xlnm.Print_Titles" localSheetId="4">市政不打印!$1:$5</definedName>
    <definedName name="工程费用" localSheetId="4">市政不打印!#REF!</definedName>
    <definedName name="_xlnm._FilterDatabase" localSheetId="3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hh</author>
  </authors>
  <commentList>
    <comment ref="K3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隐藏</t>
        </r>
      </text>
    </comment>
    <comment ref="L3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隐藏</t>
        </r>
      </text>
    </comment>
  </commentList>
</comments>
</file>

<file path=xl/comments2.xml><?xml version="1.0" encoding="utf-8"?>
<comments xmlns="http://schemas.openxmlformats.org/spreadsheetml/2006/main">
  <authors>
    <author>hh</author>
  </authors>
  <commentList>
    <comment ref="B5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包括项目建议书，可研编制费费</t>
        </r>
      </text>
    </comment>
    <comment ref="B6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按第一部分费用0.8%-1.1%计算</t>
        </r>
      </text>
    </comment>
    <comment ref="B10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按第一部分工程费用0.1%-0.5%</t>
        </r>
      </text>
    </comment>
    <comment ref="B11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按第一部分工程费0.5%-2%</t>
        </r>
      </text>
    </comment>
    <comment ref="B12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按第一部分0.3%-0.6%
</t>
        </r>
      </text>
    </comment>
    <comment ref="B14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按设计费10%</t>
        </r>
      </text>
    </comment>
    <comment ref="B15" authorId="0">
      <text>
        <r>
          <rPr>
            <b/>
            <sz val="9"/>
            <rFont val="宋体"/>
            <charset val="134"/>
          </rPr>
          <t>hh:</t>
        </r>
        <r>
          <rPr>
            <sz val="9"/>
            <rFont val="宋体"/>
            <charset val="134"/>
          </rPr>
          <t xml:space="preserve">
按设计费8%</t>
        </r>
      </text>
    </comment>
  </commentList>
</comments>
</file>

<file path=xl/sharedStrings.xml><?xml version="1.0" encoding="utf-8"?>
<sst xmlns="http://schemas.openxmlformats.org/spreadsheetml/2006/main" count="565" uniqueCount="303">
  <si>
    <t>工程总概算表</t>
  </si>
  <si>
    <t>建设项目名称：</t>
  </si>
  <si>
    <t>工程名称：闽清县梅溪镇上建线Y007地下管网提升改造项目</t>
  </si>
  <si>
    <t>序号</t>
  </si>
  <si>
    <t>工程或费用名称</t>
  </si>
  <si>
    <t>估算金额（万元）</t>
  </si>
  <si>
    <t>技术经济指标</t>
  </si>
  <si>
    <t>含总价措施费系1.05）</t>
  </si>
  <si>
    <t>分部分项清单单位价值（元）</t>
  </si>
  <si>
    <t>单位价值（元）</t>
  </si>
  <si>
    <t>备注</t>
  </si>
  <si>
    <t>建筑工程</t>
  </si>
  <si>
    <t>安装工程</t>
  </si>
  <si>
    <t>设备及工器具购置费</t>
  </si>
  <si>
    <t>其它费用</t>
  </si>
  <si>
    <t>合计</t>
  </si>
  <si>
    <t>单位</t>
  </si>
  <si>
    <t>数量</t>
  </si>
  <si>
    <t>一</t>
  </si>
  <si>
    <t>建安工程费用</t>
  </si>
  <si>
    <t>km</t>
  </si>
  <si>
    <t>1</t>
  </si>
  <si>
    <t>路面工程</t>
  </si>
  <si>
    <t>2</t>
  </si>
  <si>
    <t>排水工程</t>
  </si>
  <si>
    <t>3</t>
  </si>
  <si>
    <t>交通工程</t>
  </si>
  <si>
    <t>4</t>
  </si>
  <si>
    <t>电力工程</t>
  </si>
  <si>
    <t>5</t>
  </si>
  <si>
    <t>通信工程</t>
  </si>
  <si>
    <t>二</t>
  </si>
  <si>
    <t>工程建设其它费用</t>
  </si>
  <si>
    <t>建设单位管理费</t>
  </si>
  <si>
    <t>财政部财建[2016]504号文</t>
  </si>
  <si>
    <t>建设工程监理费</t>
  </si>
  <si>
    <t>国家发展和改革委员会、建设部发改价格[2007]670号文</t>
  </si>
  <si>
    <t>工程造价咨询服务费</t>
  </si>
  <si>
    <r>
      <rPr>
        <sz val="11"/>
        <rFont val="宋体"/>
        <charset val="134"/>
      </rPr>
      <t>福建省建设工程造价管理协会</t>
    </r>
    <r>
      <rPr>
        <sz val="11"/>
        <rFont val="Times New Roman"/>
        <charset val="0"/>
      </rPr>
      <t>‌</t>
    </r>
    <r>
      <rPr>
        <sz val="11"/>
        <rFont val="宋体"/>
        <charset val="134"/>
      </rPr>
      <t>发布的</t>
    </r>
    <r>
      <rPr>
        <sz val="11"/>
        <rFont val="Times New Roman"/>
        <charset val="0"/>
      </rPr>
      <t>‌</t>
    </r>
    <r>
      <rPr>
        <sz val="11"/>
        <rFont val="宋体"/>
        <charset val="134"/>
      </rPr>
      <t>闽建价协〔2020〕34号</t>
    </r>
    <r>
      <rPr>
        <sz val="11"/>
        <rFont val="Times New Roman"/>
        <charset val="0"/>
      </rPr>
      <t>‌</t>
    </r>
    <r>
      <rPr>
        <sz val="11"/>
        <rFont val="宋体"/>
        <charset val="134"/>
      </rPr>
      <t>文</t>
    </r>
  </si>
  <si>
    <t>建设项目前期工作咨询费</t>
  </si>
  <si>
    <t>国家计委计价格[1999]1283号文</t>
  </si>
  <si>
    <t>勘察费</t>
  </si>
  <si>
    <t>建标[2011]1号文《市政工程设计概算编制办法》</t>
  </si>
  <si>
    <t>设计费</t>
  </si>
  <si>
    <t>计价格【2002】10号</t>
  </si>
  <si>
    <t>环境影响咨询服务费</t>
  </si>
  <si>
    <t>国家计委、国家环境保护总局计价格[2002]125号文</t>
  </si>
  <si>
    <t>水土保持补偿费</t>
  </si>
  <si>
    <t>福建省发展和改革委、福建省财政厅闽发改服价函[2020]267</t>
  </si>
  <si>
    <t>劳动安全卫生评审费</t>
  </si>
  <si>
    <t>建标[2011]1号文《市政工程设计概算编制办法》，工程费用×0.3%</t>
  </si>
  <si>
    <t>场地准备及临时设施费</t>
  </si>
  <si>
    <t>建标[2011]1号文《市政工程设计概算编制办法》，工程费用×1%</t>
  </si>
  <si>
    <t>工程保险费</t>
  </si>
  <si>
    <t>招标代理服务费</t>
  </si>
  <si>
    <t>国家发展改革委发改价格[2011]534号</t>
  </si>
  <si>
    <t>施工图预算编制费</t>
  </si>
  <si>
    <t>国家计委、建设部计价格[2002]10号文</t>
  </si>
  <si>
    <t>竣工图编制费</t>
  </si>
  <si>
    <t>施工图审查费</t>
  </si>
  <si>
    <t>地质灾害评估费</t>
  </si>
  <si>
    <t>暂列金额</t>
  </si>
  <si>
    <t>支付担保费</t>
  </si>
  <si>
    <t>福建省住房和城乡建设厅闽建[2023]4号</t>
  </si>
  <si>
    <t>地下管线竣工测量费</t>
  </si>
  <si>
    <t>三</t>
  </si>
  <si>
    <t>预备费</t>
  </si>
  <si>
    <t>（一）</t>
  </si>
  <si>
    <t>基本预备费</t>
  </si>
  <si>
    <t>（一+二）*5%</t>
  </si>
  <si>
    <t>工程静态投资</t>
  </si>
  <si>
    <t>（一+二+三）</t>
  </si>
  <si>
    <t>五</t>
  </si>
  <si>
    <t>建设期贷款利息</t>
  </si>
  <si>
    <t>建设项目总投资</t>
  </si>
  <si>
    <t>（四+五）</t>
  </si>
  <si>
    <t>费用名称</t>
  </si>
  <si>
    <t>说明及计算式</t>
  </si>
  <si>
    <t>金额（万元）</t>
  </si>
  <si>
    <t>财政部财建[2016]504号文财政部关于印发《基本建设项目建设成本管理规定》</t>
  </si>
  <si>
    <t>发改价格[2007]670号文《国家发展改革委、建设部关于印发&lt;建设工程监理与相关服务收费管理规定&gt;的通知》</t>
  </si>
  <si>
    <t>福建省物价局【2020】34号文《福建省建设工程造价咨询服务费行业标准》</t>
  </si>
  <si>
    <t>国家计委计价格[1999]1283号文《国家计委关于印发建设项目前期工作咨询收费暂行规定的通知》</t>
  </si>
  <si>
    <t>建标[2011]1号文《市政工程设计概算编制办法》，第一部分工程费用*1%</t>
  </si>
  <si>
    <t>计价格【2002】10号《国家计委、建设部关于发布〈工程勘察设计收费管理规定〉的通知》</t>
  </si>
  <si>
    <t>建标[2011]1号文《市政工程设计概算编制办法》，工程费用×0.5%</t>
  </si>
  <si>
    <t>国家计委、建设部计价格[2002]10号文，设计费×10%</t>
  </si>
  <si>
    <t>国家计委、建设部计价格[2002]10号文，设计费×8%</t>
  </si>
  <si>
    <t>工程建设其他费合计</t>
  </si>
  <si>
    <t>按费用性质划分主要经济指标表</t>
  </si>
  <si>
    <t>02表</t>
  </si>
  <si>
    <t xml:space="preserve">    主要材料用量汇总表</t>
  </si>
  <si>
    <t>04表</t>
  </si>
  <si>
    <t>工程项目</t>
  </si>
  <si>
    <t>投资额(万元)</t>
  </si>
  <si>
    <t>合计(万元)</t>
  </si>
  <si>
    <t>占总资金比例%</t>
  </si>
  <si>
    <t>材料名称</t>
  </si>
  <si>
    <r>
      <rPr>
        <sz val="10"/>
        <rFont val="宋体"/>
        <charset val="134"/>
      </rPr>
      <t>水泥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吨</t>
    </r>
    <r>
      <rPr>
        <sz val="10"/>
        <rFont val="Times New Roman"/>
        <charset val="0"/>
      </rPr>
      <t>)</t>
    </r>
  </si>
  <si>
    <r>
      <rPr>
        <sz val="10"/>
        <rFont val="宋体"/>
        <charset val="134"/>
      </rPr>
      <t>钢材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吨</t>
    </r>
    <r>
      <rPr>
        <sz val="10"/>
        <rFont val="Times New Roman"/>
        <charset val="0"/>
      </rPr>
      <t>)</t>
    </r>
  </si>
  <si>
    <r>
      <rPr>
        <sz val="10"/>
        <rFont val="宋体"/>
        <charset val="134"/>
      </rPr>
      <t>木材</t>
    </r>
    <r>
      <rPr>
        <sz val="10"/>
        <rFont val="Times New Roman"/>
        <charset val="0"/>
      </rPr>
      <t xml:space="preserve">                  (</t>
    </r>
    <r>
      <rPr>
        <sz val="10"/>
        <rFont val="宋体"/>
        <charset val="134"/>
      </rPr>
      <t>立方米</t>
    </r>
    <r>
      <rPr>
        <sz val="10"/>
        <rFont val="Times New Roman"/>
        <charset val="0"/>
      </rPr>
      <t>)</t>
    </r>
  </si>
  <si>
    <r>
      <rPr>
        <sz val="10"/>
        <rFont val="宋体"/>
        <charset val="134"/>
      </rPr>
      <t>沥青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吨</t>
    </r>
    <r>
      <rPr>
        <sz val="10"/>
        <rFont val="Times New Roman"/>
        <charset val="0"/>
      </rPr>
      <t>)</t>
    </r>
  </si>
  <si>
    <t>费用项目</t>
  </si>
  <si>
    <t>静态投资合计</t>
  </si>
  <si>
    <t>总投资合计</t>
  </si>
  <si>
    <r>
      <rPr>
        <sz val="11"/>
        <rFont val="宋体"/>
        <charset val="134"/>
      </rPr>
      <t>占总资金比例</t>
    </r>
    <r>
      <rPr>
        <sz val="11"/>
        <rFont val="Times New Roman"/>
        <charset val="0"/>
      </rPr>
      <t>%</t>
    </r>
  </si>
  <si>
    <t>按专业划分主要经济指标表</t>
  </si>
  <si>
    <t xml:space="preserve"> 03表</t>
  </si>
  <si>
    <t>序</t>
  </si>
  <si>
    <t>号</t>
  </si>
  <si>
    <t>其他费用</t>
  </si>
  <si>
    <t>总资金合计</t>
  </si>
  <si>
    <t>工程总估算表1</t>
  </si>
  <si>
    <t>建设项目名称：乡村振兴特色乡镇建设项目</t>
  </si>
  <si>
    <t>估（概）</t>
  </si>
  <si>
    <t>单位价值元（元）</t>
  </si>
  <si>
    <t>算书编号</t>
  </si>
  <si>
    <t>设备及工器具
购置费</t>
  </si>
  <si>
    <t>第一部分 工程建设费用</t>
  </si>
  <si>
    <t>黄田镇乡村振兴精品示范路线全面提升</t>
  </si>
  <si>
    <t>行车道</t>
  </si>
  <si>
    <t>总造价</t>
  </si>
  <si>
    <t>1.1</t>
  </si>
  <si>
    <t>4cm厚AC-13C改性沥青混凝土路面</t>
  </si>
  <si>
    <t>m2</t>
  </si>
  <si>
    <t>1.2</t>
  </si>
  <si>
    <t>5cm厚AC-16C沥青混凝土路面</t>
  </si>
  <si>
    <t>1.3</t>
  </si>
  <si>
    <t>稀浆封层</t>
  </si>
  <si>
    <t>1.4</t>
  </si>
  <si>
    <t>15cm厚5%水泥稳定碎石</t>
  </si>
  <si>
    <t>1.5</t>
  </si>
  <si>
    <t>15cm厚3%水泥稳定碎石</t>
  </si>
  <si>
    <t>1.6</t>
  </si>
  <si>
    <t>15cm厚级配碎石</t>
  </si>
  <si>
    <t>1.7</t>
  </si>
  <si>
    <t>粘层（乳化沥青PC-3）</t>
  </si>
  <si>
    <t>1.8</t>
  </si>
  <si>
    <t>透层（乳化沥青PC-2）</t>
  </si>
  <si>
    <t>人行道</t>
  </si>
  <si>
    <t>2.1</t>
  </si>
  <si>
    <t>6cm厚彩色透水砖</t>
  </si>
  <si>
    <t>2.2</t>
  </si>
  <si>
    <t>15cm厚C20透水混凝土</t>
  </si>
  <si>
    <t>2.3</t>
  </si>
  <si>
    <t>10cm厚级配碎石</t>
  </si>
  <si>
    <t>其他工程</t>
  </si>
  <si>
    <t>3.1</t>
  </si>
  <si>
    <t>路缘石A</t>
  </si>
  <si>
    <t>m</t>
  </si>
  <si>
    <t>3.2</t>
  </si>
  <si>
    <t>树池条石</t>
  </si>
  <si>
    <t>3.3</t>
  </si>
  <si>
    <t>平缘石</t>
  </si>
  <si>
    <t>3.4</t>
  </si>
  <si>
    <t>C15底座</t>
  </si>
  <si>
    <t>m3</t>
  </si>
  <si>
    <t>3.5</t>
  </si>
  <si>
    <t>交通标线</t>
  </si>
  <si>
    <t>3.6</t>
  </si>
  <si>
    <t>破除砼路面（20cm混凝土面层+15cm5%水泥稳定+15cm填隙碎石）</t>
  </si>
  <si>
    <t>路面工程小计：</t>
  </si>
  <si>
    <t>（五）</t>
  </si>
  <si>
    <t>给水工程</t>
  </si>
  <si>
    <t xml:space="preserve">地上式消火栓  SS150/65-1.0
</t>
  </si>
  <si>
    <t>座</t>
  </si>
  <si>
    <t>阀门井 φ1200</t>
  </si>
  <si>
    <t>排气井 φ1200</t>
  </si>
  <si>
    <t>排泥井 φ800</t>
  </si>
  <si>
    <t>球墨铸铁管 d300</t>
  </si>
  <si>
    <t>球墨铸铁管 d200</t>
  </si>
  <si>
    <t>球墨铸铁管 d150</t>
  </si>
  <si>
    <t>给水工程小计：</t>
  </si>
  <si>
    <t>（二）</t>
  </si>
  <si>
    <t>雨水工程</t>
  </si>
  <si>
    <t>雨水检查井φ3300*2480</t>
  </si>
  <si>
    <t>雨水检查井φ2200*2200</t>
  </si>
  <si>
    <t>雨水检查井φ2200*1700</t>
  </si>
  <si>
    <t>雨水检查井φ1800*1100</t>
  </si>
  <si>
    <t>雨水检查井φ1500*1100</t>
  </si>
  <si>
    <t>6</t>
  </si>
  <si>
    <t>雨水检查井φ1650*1650</t>
  </si>
  <si>
    <t>7</t>
  </si>
  <si>
    <t>雨水检查井φ1300*1100</t>
  </si>
  <si>
    <t>8</t>
  </si>
  <si>
    <t>雨水检查井φ1500</t>
  </si>
  <si>
    <t>9</t>
  </si>
  <si>
    <t>雨水检查井φ1250</t>
  </si>
  <si>
    <t>10</t>
  </si>
  <si>
    <t>雨水检查井φ1000</t>
  </si>
  <si>
    <t>11</t>
  </si>
  <si>
    <t>单箅雨水口</t>
  </si>
  <si>
    <t>12</t>
  </si>
  <si>
    <t>双箅雨水口</t>
  </si>
  <si>
    <t>13</t>
  </si>
  <si>
    <t>排出口 D=600</t>
  </si>
  <si>
    <t>个</t>
  </si>
  <si>
    <t>14</t>
  </si>
  <si>
    <t>排出口 D=800</t>
  </si>
  <si>
    <t>15</t>
  </si>
  <si>
    <t>排出口 D=1000</t>
  </si>
  <si>
    <t>16</t>
  </si>
  <si>
    <t>排出口 D=1200</t>
  </si>
  <si>
    <t>17</t>
  </si>
  <si>
    <t>排出口 D=1400</t>
  </si>
  <si>
    <t>18</t>
  </si>
  <si>
    <t>钢筋混凝土Ⅱ级管 DN1400</t>
  </si>
  <si>
    <t>19</t>
  </si>
  <si>
    <t>钢筋混凝土Ⅱ级管 DN1200</t>
  </si>
  <si>
    <t>20</t>
  </si>
  <si>
    <t>钢筋混凝土Ⅱ级管 DN1000</t>
  </si>
  <si>
    <t>21</t>
  </si>
  <si>
    <t>钢筋混凝土Ⅱ级管 DN800</t>
  </si>
  <si>
    <t>22</t>
  </si>
  <si>
    <t>钢筋混凝土Ⅱ级管 DN600</t>
  </si>
  <si>
    <t>23</t>
  </si>
  <si>
    <t>HDPE缠绕增强管(B型) d300</t>
  </si>
  <si>
    <t>24</t>
  </si>
  <si>
    <t>6m拉森钢板桩</t>
  </si>
  <si>
    <t>25</t>
  </si>
  <si>
    <t>9m拉森钢板桩</t>
  </si>
  <si>
    <t>雨水工程小计：</t>
  </si>
  <si>
    <t>（三）</t>
  </si>
  <si>
    <t>污水工程</t>
  </si>
  <si>
    <t>污水检查井 φ1000</t>
  </si>
  <si>
    <t>HDPE缠绕增强管(B型) d400</t>
  </si>
  <si>
    <t>HDPE缠绕增强管(B型)d300</t>
  </si>
  <si>
    <t>污水提升泵200m3/h</t>
  </si>
  <si>
    <t>球墨铸铁管 d400</t>
  </si>
  <si>
    <t>拆除现状给水管 DN200</t>
  </si>
  <si>
    <t>拆除合流管 DN400</t>
  </si>
  <si>
    <t>拆除盖板沟 0.5m*0.4m</t>
  </si>
  <si>
    <t>破除恢复水泥路面</t>
  </si>
  <si>
    <t>污水工程小计：</t>
  </si>
  <si>
    <t>（七）</t>
  </si>
  <si>
    <t>电力管道工程</t>
  </si>
  <si>
    <t>电缆保护管MPP150 9孔</t>
  </si>
  <si>
    <t>电缆保护管G150 9孔</t>
  </si>
  <si>
    <t>电缆保护管G150 6孔</t>
  </si>
  <si>
    <t>热镀锌接地扁钢-50*5</t>
  </si>
  <si>
    <t>热镀锌接地角钢L50*50*5*2500</t>
  </si>
  <si>
    <t>根</t>
  </si>
  <si>
    <t>电力工作井 直通型</t>
  </si>
  <si>
    <t>电力工作井 三通型</t>
  </si>
  <si>
    <t>电力工作井 四通型</t>
  </si>
  <si>
    <t>电力管道工程小计：</t>
  </si>
  <si>
    <t>（八）</t>
  </si>
  <si>
    <t>电缆保护管UPVC∅110 9孔</t>
  </si>
  <si>
    <t>电缆保护管G100 9孔</t>
  </si>
  <si>
    <t>电缆保护管G100 6孔</t>
  </si>
  <si>
    <t>通信工作井 直通型</t>
  </si>
  <si>
    <t>通信工作井 三通型</t>
  </si>
  <si>
    <t>通信工作井 四通型</t>
  </si>
  <si>
    <t>通信工程小计：</t>
  </si>
  <si>
    <t>（九）</t>
  </si>
  <si>
    <t>路灯照明工程</t>
  </si>
  <si>
    <t>（H=10m)杆单臂路灯灯具 LED175W</t>
  </si>
  <si>
    <t>套</t>
  </si>
  <si>
    <t>（H=12m)中杆灯灯具LED 3*200W</t>
  </si>
  <si>
    <t>电力电缆YJV-0.6/1KV;5*25m2</t>
  </si>
  <si>
    <t>腊克线;3*2.5m2</t>
  </si>
  <si>
    <t>电缆保护管CPVC75</t>
  </si>
  <si>
    <t>电缆保护管SC80</t>
  </si>
  <si>
    <t>路灯检修手孔井</t>
  </si>
  <si>
    <t>热镀锌接地扁钢-40*4</t>
  </si>
  <si>
    <t>路灯箱式变压器（含路灯控制箱）</t>
  </si>
  <si>
    <t>路灯照明工程小计：</t>
  </si>
  <si>
    <t>黄田镇乡村振兴精品示范路线全面提升合计：</t>
  </si>
  <si>
    <t>农贸市场改造项目</t>
  </si>
  <si>
    <t>第一部分 工程建设费用合计：</t>
  </si>
  <si>
    <t>第二部分  工程建设其它费用</t>
  </si>
  <si>
    <t>拆迁补偿</t>
  </si>
  <si>
    <t>拆除现状架空管线（电力）</t>
  </si>
  <si>
    <t>拆除现状电线杆</t>
  </si>
  <si>
    <t>拆除现状架空管线（通信）</t>
  </si>
  <si>
    <t>财建[2016]504号文</t>
  </si>
  <si>
    <t>发改价格[2007]670号文</t>
  </si>
  <si>
    <t>福建省物价局闽价[2002]房457号文</t>
  </si>
  <si>
    <t>建设工程交易费</t>
  </si>
  <si>
    <t>闽价通告【2018】9号</t>
  </si>
  <si>
    <t>建标【2007】164号，第一部分工程费用*1%</t>
  </si>
  <si>
    <t>计价格【2002】10号、中设协字【2016】89号</t>
  </si>
  <si>
    <t>计价格【2002】125号，发改价格【2011】534号</t>
  </si>
  <si>
    <t>闽发改服价函〔2020〕267号</t>
  </si>
  <si>
    <t>建设部建标[2007]164号文，工程费用×0.3%</t>
  </si>
  <si>
    <t>建设部建标[2007]164号文，工程费用×1%</t>
  </si>
  <si>
    <t>建设部建标[2007]164号文，工程费用×0.5%</t>
  </si>
  <si>
    <t>发改价格[2011]534号</t>
  </si>
  <si>
    <t>福建省物价局闽价服（2012）237号文</t>
  </si>
  <si>
    <t>研究试验费</t>
  </si>
  <si>
    <t>第三部分 预备费</t>
  </si>
  <si>
    <t>四</t>
  </si>
  <si>
    <t>建设期贷款利息合计</t>
  </si>
  <si>
    <t>第一、二、三、四部分费用合计</t>
  </si>
  <si>
    <t>黄田</t>
  </si>
  <si>
    <t>建安费</t>
  </si>
  <si>
    <t>路基工程</t>
  </si>
  <si>
    <t>桥涵工程</t>
  </si>
  <si>
    <t>路灯照明</t>
  </si>
  <si>
    <t>交通设施</t>
  </si>
  <si>
    <t>道路绿化</t>
  </si>
  <si>
    <t>电力管道</t>
  </si>
  <si>
    <t>建安合计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</si>
</sst>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0.00_);[Red]\(0.00\)"/>
    <numFmt numFmtId="178" formatCode="0.000_);[Red]\(0.000\)"/>
    <numFmt numFmtId="179" formatCode="0.00_ "/>
    <numFmt numFmtId="180" formatCode="0.000_ "/>
    <numFmt numFmtId="181" formatCode="0.0000;[Red]0.0000"/>
    <numFmt numFmtId="182" formatCode="0.00;[Red]0.00"/>
    <numFmt numFmtId="183" formatCode="0.0000_ "/>
  </numFmts>
  <fonts count="44">
    <font>
      <sz val="12"/>
      <name val="宋体"/>
      <charset val="134"/>
    </font>
    <font>
      <b/>
      <sz val="18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Times New Roman"/>
      <charset val="0"/>
    </font>
    <font>
      <b/>
      <sz val="9"/>
      <name val="宋体"/>
      <charset val="134"/>
    </font>
    <font>
      <b/>
      <sz val="11"/>
      <color rgb="FFFF0000"/>
      <name val="宋体"/>
      <charset val="134"/>
    </font>
    <font>
      <b/>
      <sz val="9"/>
      <name val="Times New Roman"/>
      <charset val="0"/>
    </font>
    <font>
      <b/>
      <sz val="10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4"/>
      <name val="宋体"/>
      <charset val="134"/>
    </font>
    <font>
      <sz val="11"/>
      <name val="Times New Roman"/>
      <charset val="0"/>
    </font>
    <font>
      <b/>
      <sz val="11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Geneva"/>
      <charset val="0"/>
    </font>
    <font>
      <sz val="10"/>
      <color indexed="8"/>
      <name val="Arial"/>
      <charset val="0"/>
    </font>
    <font>
      <sz val="11"/>
      <color theme="1"/>
      <name val="Calibri"/>
      <charset val="0"/>
    </font>
    <font>
      <sz val="10"/>
      <name val="Times New Roman"/>
      <charset val="0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0" fillId="3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20" applyNumberFormat="0" applyAlignment="0" applyProtection="0">
      <alignment vertical="center"/>
    </xf>
    <xf numFmtId="0" fontId="28" fillId="5" borderId="21" applyNumberFormat="0" applyAlignment="0" applyProtection="0">
      <alignment vertical="center"/>
    </xf>
    <xf numFmtId="0" fontId="29" fillId="5" borderId="20" applyNumberFormat="0" applyAlignment="0" applyProtection="0">
      <alignment vertical="center"/>
    </xf>
    <xf numFmtId="0" fontId="30" fillId="6" borderId="22" applyNumberFormat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38" fillId="0" borderId="0"/>
    <xf numFmtId="0" fontId="38" fillId="0" borderId="0"/>
    <xf numFmtId="176" fontId="0" fillId="0" borderId="0" applyFont="0" applyFill="0" applyBorder="0" applyAlignment="0" applyProtection="0"/>
    <xf numFmtId="0" fontId="38" fillId="0" borderId="0"/>
    <xf numFmtId="0" fontId="39" fillId="0" borderId="0"/>
    <xf numFmtId="0" fontId="0" fillId="0" borderId="0"/>
    <xf numFmtId="0" fontId="0" fillId="0" borderId="0"/>
    <xf numFmtId="0" fontId="0" fillId="0" borderId="0"/>
    <xf numFmtId="0" fontId="38" fillId="0" borderId="0"/>
    <xf numFmtId="0" fontId="40" fillId="0" borderId="0"/>
  </cellStyleXfs>
  <cellXfs count="232">
    <xf numFmtId="0" fontId="0" fillId="0" borderId="0" xfId="0"/>
    <xf numFmtId="0" fontId="1" fillId="0" borderId="0" xfId="55" applyFont="1" applyFill="1" applyAlignment="1"/>
    <xf numFmtId="0" fontId="0" fillId="0" borderId="0" xfId="55" applyFont="1" applyFill="1" applyAlignment="1">
      <alignment vertical="center"/>
    </xf>
    <xf numFmtId="0" fontId="2" fillId="0" borderId="0" xfId="2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24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177" fontId="0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0" xfId="55" applyNumberFormat="1" applyFont="1" applyFill="1" applyBorder="1" applyAlignment="1">
      <alignment horizontal="center" vertical="center"/>
    </xf>
    <xf numFmtId="0" fontId="4" fillId="0" borderId="0" xfId="55" applyNumberFormat="1" applyFont="1" applyFill="1" applyBorder="1" applyAlignment="1">
      <alignment horizontal="right" vertical="center"/>
    </xf>
    <xf numFmtId="0" fontId="5" fillId="0" borderId="0" xfId="55" applyNumberFormat="1" applyFont="1" applyFill="1" applyBorder="1" applyAlignment="1">
      <alignment vertical="center"/>
    </xf>
    <xf numFmtId="0" fontId="5" fillId="0" borderId="0" xfId="55" applyNumberFormat="1" applyFont="1" applyFill="1" applyBorder="1" applyAlignment="1">
      <alignment horizontal="left" vertical="center"/>
    </xf>
    <xf numFmtId="0" fontId="0" fillId="0" borderId="0" xfId="55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22" applyFont="1" applyFill="1" applyBorder="1" applyAlignment="1">
      <alignment horizontal="left" vertical="center"/>
    </xf>
    <xf numFmtId="2" fontId="6" fillId="0" borderId="1" xfId="22" applyNumberFormat="1" applyFont="1" applyFill="1" applyBorder="1" applyAlignment="1">
      <alignment horizontal="right" vertical="center"/>
    </xf>
    <xf numFmtId="2" fontId="8" fillId="0" borderId="1" xfId="22" applyNumberFormat="1" applyFont="1" applyFill="1" applyBorder="1" applyAlignment="1">
      <alignment horizontal="right" vertical="center"/>
    </xf>
    <xf numFmtId="0" fontId="6" fillId="0" borderId="1" xfId="22" applyFont="1" applyFill="1" applyBorder="1" applyAlignment="1">
      <alignment horizontal="center" vertical="center"/>
    </xf>
    <xf numFmtId="178" fontId="6" fillId="0" borderId="1" xfId="22" applyNumberFormat="1" applyFont="1" applyFill="1" applyBorder="1" applyAlignment="1">
      <alignment horizontal="right" vertical="center"/>
    </xf>
    <xf numFmtId="177" fontId="6" fillId="0" borderId="1" xfId="22" applyNumberFormat="1" applyFont="1" applyFill="1" applyBorder="1" applyAlignment="1">
      <alignment horizontal="right" vertical="center"/>
    </xf>
    <xf numFmtId="177" fontId="6" fillId="0" borderId="1" xfId="0" applyNumberFormat="1" applyFont="1" applyFill="1" applyBorder="1" applyAlignment="1">
      <alignment vertical="center"/>
    </xf>
    <xf numFmtId="0" fontId="6" fillId="0" borderId="2" xfId="22" applyFont="1" applyFill="1" applyBorder="1" applyAlignment="1">
      <alignment horizontal="center" vertical="center"/>
    </xf>
    <xf numFmtId="49" fontId="6" fillId="0" borderId="1" xfId="22" applyNumberFormat="1" applyFont="1" applyFill="1" applyBorder="1" applyAlignment="1">
      <alignment horizontal="center" vertical="center"/>
    </xf>
    <xf numFmtId="0" fontId="8" fillId="0" borderId="2" xfId="22" applyFont="1" applyFill="1" applyBorder="1" applyAlignment="1">
      <alignment horizontal="center" vertical="center"/>
    </xf>
    <xf numFmtId="2" fontId="6" fillId="0" borderId="2" xfId="22" applyNumberFormat="1" applyFont="1" applyFill="1" applyBorder="1" applyAlignment="1">
      <alignment horizontal="right" vertical="center"/>
    </xf>
    <xf numFmtId="177" fontId="6" fillId="0" borderId="2" xfId="22" applyNumberFormat="1" applyFont="1" applyFill="1" applyBorder="1" applyAlignment="1">
      <alignment horizontal="right" vertical="center"/>
    </xf>
    <xf numFmtId="177" fontId="6" fillId="0" borderId="2" xfId="22" applyNumberFormat="1" applyFont="1" applyFill="1" applyBorder="1" applyAlignment="1">
      <alignment vertical="center"/>
    </xf>
    <xf numFmtId="179" fontId="9" fillId="0" borderId="1" xfId="0" applyNumberFormat="1" applyFont="1" applyFill="1" applyBorder="1" applyAlignment="1">
      <alignment vertical="center"/>
    </xf>
    <xf numFmtId="179" fontId="6" fillId="0" borderId="1" xfId="22" applyNumberFormat="1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vertical="center"/>
    </xf>
    <xf numFmtId="179" fontId="2" fillId="0" borderId="1" xfId="0" applyNumberFormat="1" applyFont="1" applyFill="1" applyBorder="1" applyAlignment="1">
      <alignment vertical="center"/>
    </xf>
    <xf numFmtId="0" fontId="6" fillId="0" borderId="1" xfId="22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8" fillId="0" borderId="1" xfId="22" applyNumberFormat="1" applyFont="1" applyFill="1" applyBorder="1" applyAlignment="1">
      <alignment horizontal="center" vertical="center"/>
    </xf>
    <xf numFmtId="0" fontId="8" fillId="0" borderId="1" xfId="22" applyFont="1" applyFill="1" applyBorder="1" applyAlignment="1">
      <alignment horizontal="left" vertical="center"/>
    </xf>
    <xf numFmtId="0" fontId="8" fillId="0" borderId="1" xfId="22" applyFont="1" applyFill="1" applyBorder="1" applyAlignment="1">
      <alignment horizontal="center" vertical="center"/>
    </xf>
    <xf numFmtId="178" fontId="8" fillId="0" borderId="1" xfId="22" applyNumberFormat="1" applyFont="1" applyFill="1" applyBorder="1" applyAlignment="1">
      <alignment horizontal="right" vertical="center"/>
    </xf>
    <xf numFmtId="177" fontId="8" fillId="0" borderId="1" xfId="0" applyNumberFormat="1" applyFont="1" applyFill="1" applyBorder="1" applyAlignment="1">
      <alignment vertical="center"/>
    </xf>
    <xf numFmtId="177" fontId="10" fillId="0" borderId="1" xfId="0" applyNumberFormat="1" applyFont="1" applyFill="1" applyBorder="1" applyAlignment="1">
      <alignment vertical="center"/>
    </xf>
    <xf numFmtId="0" fontId="6" fillId="0" borderId="1" xfId="22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6" fillId="0" borderId="1" xfId="22" applyFont="1" applyFill="1" applyBorder="1" applyAlignment="1">
      <alignment vertical="center"/>
    </xf>
    <xf numFmtId="177" fontId="6" fillId="0" borderId="1" xfId="22" applyNumberFormat="1" applyFont="1" applyFill="1" applyBorder="1" applyAlignment="1">
      <alignment horizontal="center" vertical="center"/>
    </xf>
    <xf numFmtId="177" fontId="6" fillId="0" borderId="1" xfId="22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vertical="center"/>
    </xf>
    <xf numFmtId="49" fontId="8" fillId="0" borderId="2" xfId="22" applyNumberFormat="1" applyFont="1" applyFill="1" applyBorder="1" applyAlignment="1">
      <alignment horizontal="center" vertical="center"/>
    </xf>
    <xf numFmtId="0" fontId="8" fillId="0" borderId="2" xfId="22" applyFont="1" applyFill="1" applyBorder="1" applyAlignment="1">
      <alignment horizontal="left" vertical="center"/>
    </xf>
    <xf numFmtId="2" fontId="8" fillId="0" borderId="2" xfId="22" applyNumberFormat="1" applyFont="1" applyFill="1" applyBorder="1" applyAlignment="1">
      <alignment horizontal="right" vertical="center"/>
    </xf>
    <xf numFmtId="177" fontId="8" fillId="0" borderId="2" xfId="22" applyNumberFormat="1" applyFont="1" applyFill="1" applyBorder="1" applyAlignment="1">
      <alignment vertical="center"/>
    </xf>
    <xf numFmtId="0" fontId="6" fillId="0" borderId="2" xfId="22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2" fontId="6" fillId="0" borderId="1" xfId="22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80" fontId="8" fillId="0" borderId="1" xfId="22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right" vertical="center"/>
    </xf>
    <xf numFmtId="177" fontId="8" fillId="0" borderId="1" xfId="22" applyNumberFormat="1" applyFont="1" applyFill="1" applyBorder="1" applyAlignment="1">
      <alignment horizontal="right" vertical="center"/>
    </xf>
    <xf numFmtId="0" fontId="5" fillId="0" borderId="1" xfId="5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right" vertical="center" wrapText="1"/>
    </xf>
    <xf numFmtId="0" fontId="11" fillId="0" borderId="1" xfId="51" applyFont="1" applyFill="1" applyBorder="1" applyAlignment="1">
      <alignment horizontal="center" vertical="center" wrapText="1"/>
    </xf>
    <xf numFmtId="0" fontId="11" fillId="0" borderId="1" xfId="51" applyFont="1" applyFill="1" applyBorder="1" applyAlignment="1">
      <alignment vertical="center"/>
    </xf>
    <xf numFmtId="2" fontId="11" fillId="0" borderId="1" xfId="51" applyNumberFormat="1" applyFont="1" applyFill="1" applyBorder="1" applyAlignment="1">
      <alignment vertical="center"/>
    </xf>
    <xf numFmtId="0" fontId="6" fillId="0" borderId="1" xfId="22" applyFont="1" applyFill="1" applyBorder="1" applyAlignment="1">
      <alignment horizontal="right" vertical="center"/>
    </xf>
    <xf numFmtId="0" fontId="6" fillId="0" borderId="1" xfId="24" applyFont="1" applyFill="1" applyBorder="1" applyAlignment="1">
      <alignment horizontal="center" vertical="center"/>
    </xf>
    <xf numFmtId="177" fontId="6" fillId="0" borderId="1" xfId="24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0" fontId="0" fillId="0" borderId="0" xfId="0" applyFill="1"/>
    <xf numFmtId="179" fontId="12" fillId="0" borderId="1" xfId="22" applyNumberFormat="1" applyFont="1" applyFill="1" applyBorder="1" applyAlignment="1">
      <alignment horizontal="left" vertical="center"/>
    </xf>
    <xf numFmtId="179" fontId="13" fillId="0" borderId="1" xfId="0" applyNumberFormat="1" applyFont="1" applyFill="1" applyBorder="1" applyAlignment="1">
      <alignment vertical="center"/>
    </xf>
    <xf numFmtId="0" fontId="2" fillId="0" borderId="0" xfId="53" applyFont="1" applyFill="1" applyAlignment="1">
      <alignment vertical="center"/>
    </xf>
    <xf numFmtId="0" fontId="2" fillId="0" borderId="0" xfId="53" applyFont="1" applyFill="1"/>
    <xf numFmtId="0" fontId="2" fillId="0" borderId="0" xfId="53" applyFont="1" applyFill="1" applyAlignment="1">
      <alignment horizontal="center"/>
    </xf>
    <xf numFmtId="0" fontId="14" fillId="0" borderId="0" xfId="53" applyFont="1" applyFill="1"/>
    <xf numFmtId="0" fontId="15" fillId="0" borderId="3" xfId="53" applyFont="1" applyFill="1" applyBorder="1" applyAlignment="1">
      <alignment horizontal="center" vertical="center"/>
    </xf>
    <xf numFmtId="0" fontId="15" fillId="0" borderId="0" xfId="53" applyFont="1" applyFill="1" applyBorder="1" applyAlignment="1">
      <alignment horizontal="center" vertical="center"/>
    </xf>
    <xf numFmtId="0" fontId="15" fillId="0" borderId="0" xfId="53" applyFont="1" applyFill="1" applyAlignment="1">
      <alignment horizontal="center" vertical="center"/>
    </xf>
    <xf numFmtId="0" fontId="16" fillId="0" borderId="0" xfId="53" applyFont="1" applyFill="1" applyBorder="1" applyAlignment="1">
      <alignment horizontal="center" vertical="center"/>
    </xf>
    <xf numFmtId="0" fontId="16" fillId="0" borderId="3" xfId="53" applyFont="1" applyFill="1" applyBorder="1" applyAlignment="1">
      <alignment horizontal="center" vertical="center"/>
    </xf>
    <xf numFmtId="0" fontId="0" fillId="0" borderId="3" xfId="53" applyFont="1" applyFill="1" applyBorder="1" applyAlignment="1">
      <alignment horizontal="center" vertical="center"/>
    </xf>
    <xf numFmtId="0" fontId="2" fillId="0" borderId="4" xfId="53" applyFont="1" applyFill="1" applyBorder="1" applyAlignment="1">
      <alignment horizontal="center" vertical="center"/>
    </xf>
    <xf numFmtId="0" fontId="2" fillId="0" borderId="4" xfId="53" applyFont="1" applyFill="1" applyBorder="1" applyAlignment="1">
      <alignment horizontal="right" vertical="center"/>
    </xf>
    <xf numFmtId="0" fontId="2" fillId="0" borderId="5" xfId="53" applyFont="1" applyFill="1" applyBorder="1" applyAlignment="1">
      <alignment horizontal="center" vertical="center" wrapText="1"/>
    </xf>
    <xf numFmtId="0" fontId="2" fillId="0" borderId="4" xfId="53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2" fillId="0" borderId="0" xfId="53" applyFont="1" applyFill="1" applyAlignment="1">
      <alignment horizontal="center" vertical="center" wrapText="1"/>
    </xf>
    <xf numFmtId="0" fontId="5" fillId="0" borderId="6" xfId="53" applyFont="1" applyFill="1" applyBorder="1" applyAlignment="1">
      <alignment horizontal="center" vertical="center"/>
    </xf>
    <xf numFmtId="0" fontId="5" fillId="0" borderId="7" xfId="53" applyFont="1" applyFill="1" applyBorder="1" applyAlignment="1">
      <alignment horizontal="right" vertical="center"/>
    </xf>
    <xf numFmtId="0" fontId="5" fillId="0" borderId="1" xfId="53" applyFont="1" applyFill="1" applyBorder="1" applyAlignment="1">
      <alignment horizontal="center" vertical="center" wrapText="1"/>
    </xf>
    <xf numFmtId="0" fontId="5" fillId="0" borderId="8" xfId="53" applyFont="1" applyFill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2" xfId="53" applyFont="1" applyFill="1" applyBorder="1" applyAlignment="1">
      <alignment horizontal="center" vertical="center" wrapText="1"/>
    </xf>
    <xf numFmtId="0" fontId="5" fillId="0" borderId="9" xfId="53" applyFont="1" applyFill="1" applyBorder="1" applyAlignment="1">
      <alignment horizontal="center" vertical="center"/>
    </xf>
    <xf numFmtId="0" fontId="5" fillId="0" borderId="10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/>
    </xf>
    <xf numFmtId="181" fontId="2" fillId="0" borderId="1" xfId="53" applyNumberFormat="1" applyFont="1" applyFill="1" applyBorder="1" applyAlignment="1" applyProtection="1">
      <alignment vertical="center"/>
    </xf>
    <xf numFmtId="182" fontId="2" fillId="0" borderId="1" xfId="53" applyNumberFormat="1" applyFont="1" applyFill="1" applyBorder="1" applyAlignment="1" applyProtection="1">
      <alignment vertical="center"/>
    </xf>
    <xf numFmtId="182" fontId="2" fillId="0" borderId="0" xfId="53" applyNumberFormat="1" applyFont="1" applyFill="1" applyAlignment="1" applyProtection="1">
      <alignment vertical="center"/>
    </xf>
    <xf numFmtId="0" fontId="5" fillId="0" borderId="11" xfId="53" applyFont="1" applyFill="1" applyBorder="1" applyAlignment="1">
      <alignment horizontal="center" vertical="center"/>
    </xf>
    <xf numFmtId="0" fontId="5" fillId="0" borderId="12" xfId="53" applyFont="1" applyFill="1" applyBorder="1" applyAlignment="1">
      <alignment horizontal="center" vertical="center"/>
    </xf>
    <xf numFmtId="1" fontId="5" fillId="0" borderId="12" xfId="58" applyNumberFormat="1" applyFont="1" applyFill="1" applyBorder="1" applyAlignment="1">
      <alignment horizontal="center" vertical="center"/>
    </xf>
    <xf numFmtId="1" fontId="5" fillId="0" borderId="13" xfId="58" applyNumberFormat="1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vertical="center"/>
    </xf>
    <xf numFmtId="0" fontId="2" fillId="0" borderId="1" xfId="53" applyFont="1" applyFill="1" applyBorder="1" applyAlignment="1">
      <alignment horizontal="center" vertical="center"/>
    </xf>
    <xf numFmtId="0" fontId="2" fillId="0" borderId="1" xfId="53" applyFont="1" applyFill="1" applyBorder="1" applyAlignment="1" applyProtection="1">
      <alignment vertical="center"/>
      <protection locked="0"/>
    </xf>
    <xf numFmtId="0" fontId="2" fillId="0" borderId="0" xfId="53" applyFont="1" applyFill="1" applyAlignment="1" applyProtection="1">
      <alignment vertical="center"/>
      <protection locked="0"/>
    </xf>
    <xf numFmtId="0" fontId="2" fillId="0" borderId="0" xfId="53" applyFont="1" applyFill="1" applyBorder="1"/>
    <xf numFmtId="0" fontId="0" fillId="0" borderId="0" xfId="53" applyFont="1" applyFill="1" applyBorder="1" applyAlignment="1">
      <alignment horizontal="center" vertical="center"/>
    </xf>
    <xf numFmtId="0" fontId="5" fillId="0" borderId="0" xfId="53" applyFont="1" applyFill="1" applyBorder="1" applyAlignment="1">
      <alignment vertical="center"/>
    </xf>
    <xf numFmtId="0" fontId="5" fillId="0" borderId="0" xfId="53" applyFont="1" applyFill="1" applyBorder="1" applyAlignment="1">
      <alignment horizontal="right" vertical="center"/>
    </xf>
    <xf numFmtId="0" fontId="5" fillId="0" borderId="0" xfId="53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left" vertical="center" wrapText="1"/>
    </xf>
    <xf numFmtId="181" fontId="2" fillId="0" borderId="1" xfId="53" applyNumberFormat="1" applyFont="1" applyFill="1" applyBorder="1"/>
    <xf numFmtId="181" fontId="2" fillId="0" borderId="1" xfId="53" applyNumberFormat="1" applyFont="1" applyFill="1" applyBorder="1" applyAlignment="1">
      <alignment vertical="center"/>
    </xf>
    <xf numFmtId="182" fontId="2" fillId="0" borderId="1" xfId="53" applyNumberFormat="1" applyFont="1" applyFill="1" applyBorder="1" applyAlignment="1">
      <alignment vertical="center"/>
    </xf>
    <xf numFmtId="182" fontId="2" fillId="0" borderId="0" xfId="53" applyNumberFormat="1" applyFont="1" applyFill="1" applyAlignment="1">
      <alignment vertical="center"/>
    </xf>
    <xf numFmtId="0" fontId="5" fillId="0" borderId="0" xfId="53" applyFont="1" applyFill="1" applyBorder="1" applyAlignment="1">
      <alignment horizontal="center" vertical="center"/>
    </xf>
    <xf numFmtId="1" fontId="5" fillId="0" borderId="0" xfId="58" applyNumberFormat="1" applyFont="1" applyFill="1" applyBorder="1" applyAlignment="1">
      <alignment horizontal="center" vertical="center"/>
    </xf>
    <xf numFmtId="2" fontId="2" fillId="0" borderId="1" xfId="53" applyNumberFormat="1" applyFont="1" applyFill="1" applyBorder="1" applyAlignment="1">
      <alignment vertical="center"/>
    </xf>
    <xf numFmtId="0" fontId="2" fillId="0" borderId="0" xfId="0" applyFont="1" applyFill="1"/>
    <xf numFmtId="183" fontId="2" fillId="0" borderId="0" xfId="0" applyNumberFormat="1" applyFont="1" applyFill="1" applyAlignment="1">
      <alignment horizont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4" xfId="49" applyNumberFormat="1" applyFont="1" applyFill="1" applyBorder="1" applyAlignment="1">
      <alignment horizontal="center" vertical="center" wrapText="1"/>
    </xf>
    <xf numFmtId="183" fontId="2" fillId="0" borderId="1" xfId="49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left" vertical="center"/>
    </xf>
    <xf numFmtId="0" fontId="2" fillId="0" borderId="1" xfId="49" applyNumberFormat="1" applyFont="1" applyFill="1" applyBorder="1" applyAlignment="1">
      <alignment wrapText="1"/>
    </xf>
    <xf numFmtId="177" fontId="2" fillId="0" borderId="1" xfId="0" applyNumberFormat="1" applyFont="1" applyFill="1" applyBorder="1" applyAlignment="1">
      <alignment horizontal="left" vertical="center" wrapText="1"/>
    </xf>
    <xf numFmtId="0" fontId="2" fillId="0" borderId="14" xfId="49" applyNumberFormat="1" applyFont="1" applyFill="1" applyBorder="1" applyAlignment="1">
      <alignment horizontal="left" vertical="center" wrapText="1"/>
    </xf>
    <xf numFmtId="0" fontId="2" fillId="0" borderId="0" xfId="51" applyFont="1" applyFill="1" applyBorder="1" applyAlignment="1">
      <alignment vertical="center"/>
    </xf>
    <xf numFmtId="0" fontId="2" fillId="0" borderId="0" xfId="49" applyNumberFormat="1" applyFont="1" applyFill="1" applyAlignment="1">
      <alignment vertical="center" wrapText="1"/>
    </xf>
    <xf numFmtId="183" fontId="2" fillId="0" borderId="0" xfId="49" applyNumberFormat="1" applyFont="1" applyFill="1" applyAlignment="1">
      <alignment horizontal="center" vertical="center" wrapText="1"/>
    </xf>
    <xf numFmtId="0" fontId="5" fillId="0" borderId="0" xfId="55" applyFont="1" applyFill="1" applyAlignment="1">
      <alignment vertical="center"/>
    </xf>
    <xf numFmtId="0" fontId="11" fillId="0" borderId="0" xfId="0" applyFont="1"/>
    <xf numFmtId="0" fontId="3" fillId="0" borderId="0" xfId="0" applyFont="1"/>
    <xf numFmtId="0" fontId="14" fillId="0" borderId="0" xfId="22" applyFont="1" applyFill="1" applyAlignment="1">
      <alignment vertical="center"/>
    </xf>
    <xf numFmtId="0" fontId="3" fillId="0" borderId="0" xfId="0" applyFont="1" applyFill="1"/>
    <xf numFmtId="17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55" applyNumberFormat="1" applyFont="1" applyFill="1" applyBorder="1" applyAlignment="1">
      <alignment horizontal="right" vertical="center"/>
    </xf>
    <xf numFmtId="179" fontId="1" fillId="0" borderId="0" xfId="55" applyNumberFormat="1" applyFont="1" applyFill="1" applyBorder="1" applyAlignment="1">
      <alignment horizontal="center" vertical="center"/>
    </xf>
    <xf numFmtId="0" fontId="1" fillId="0" borderId="0" xfId="55" applyNumberFormat="1" applyFont="1" applyFill="1" applyBorder="1" applyAlignment="1">
      <alignment horizontal="left" vertical="center" wrapText="1"/>
    </xf>
    <xf numFmtId="0" fontId="1" fillId="0" borderId="0" xfId="55" applyFont="1" applyFill="1" applyBorder="1" applyAlignment="1"/>
    <xf numFmtId="0" fontId="16" fillId="0" borderId="0" xfId="55" applyFont="1" applyFill="1" applyAlignment="1">
      <alignment vertical="center"/>
    </xf>
    <xf numFmtId="0" fontId="2" fillId="0" borderId="0" xfId="55" applyFont="1" applyFill="1" applyAlignment="1">
      <alignment vertical="center"/>
    </xf>
    <xf numFmtId="0" fontId="2" fillId="0" borderId="0" xfId="55" applyNumberFormat="1" applyFont="1" applyFill="1" applyBorder="1" applyAlignment="1">
      <alignment vertical="center"/>
    </xf>
    <xf numFmtId="0" fontId="2" fillId="0" borderId="0" xfId="55" applyNumberFormat="1" applyFont="1" applyFill="1" applyBorder="1" applyAlignment="1">
      <alignment horizontal="left" vertical="center"/>
    </xf>
    <xf numFmtId="0" fontId="2" fillId="0" borderId="0" xfId="55" applyNumberFormat="1" applyFont="1" applyFill="1" applyBorder="1" applyAlignment="1">
      <alignment horizontal="right" vertical="center"/>
    </xf>
    <xf numFmtId="179" fontId="2" fillId="0" borderId="0" xfId="55" applyNumberFormat="1" applyFont="1" applyFill="1" applyAlignment="1">
      <alignment vertical="center"/>
    </xf>
    <xf numFmtId="0" fontId="2" fillId="0" borderId="0" xfId="55" applyFont="1" applyFill="1" applyAlignment="1">
      <alignment horizontal="right" vertical="center"/>
    </xf>
    <xf numFmtId="0" fontId="2" fillId="0" borderId="0" xfId="55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right" vertical="center"/>
    </xf>
    <xf numFmtId="179" fontId="14" fillId="0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/>
    <xf numFmtId="49" fontId="14" fillId="0" borderId="2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1" xfId="22" applyFont="1" applyFill="1" applyBorder="1" applyAlignment="1">
      <alignment horizontal="left" vertical="center"/>
    </xf>
    <xf numFmtId="183" fontId="14" fillId="0" borderId="1" xfId="22" applyNumberFormat="1" applyFont="1" applyFill="1" applyBorder="1" applyAlignment="1">
      <alignment horizontal="right" vertical="center"/>
    </xf>
    <xf numFmtId="183" fontId="14" fillId="0" borderId="2" xfId="22" applyNumberFormat="1" applyFont="1" applyFill="1" applyBorder="1" applyAlignment="1">
      <alignment horizontal="right" vertical="center"/>
    </xf>
    <xf numFmtId="0" fontId="14" fillId="0" borderId="1" xfId="22" applyFont="1" applyFill="1" applyBorder="1" applyAlignment="1">
      <alignment horizontal="center" vertical="center"/>
    </xf>
    <xf numFmtId="180" fontId="14" fillId="0" borderId="1" xfId="22" applyNumberFormat="1" applyFont="1" applyFill="1" applyBorder="1" applyAlignment="1">
      <alignment horizontal="right" vertical="center"/>
    </xf>
    <xf numFmtId="177" fontId="14" fillId="0" borderId="1" xfId="0" applyNumberFormat="1" applyFont="1" applyFill="1" applyBorder="1" applyAlignment="1">
      <alignment horizontal="left" vertical="center" wrapText="1"/>
    </xf>
    <xf numFmtId="49" fontId="14" fillId="0" borderId="1" xfId="22" applyNumberFormat="1" applyFont="1" applyFill="1" applyBorder="1" applyAlignment="1">
      <alignment horizontal="center" vertical="center"/>
    </xf>
    <xf numFmtId="0" fontId="14" fillId="0" borderId="2" xfId="22" applyFont="1" applyFill="1" applyBorder="1" applyAlignment="1">
      <alignment horizontal="left" vertical="center"/>
    </xf>
    <xf numFmtId="183" fontId="14" fillId="0" borderId="1" xfId="59" applyNumberFormat="1" applyFont="1" applyFill="1" applyBorder="1" applyAlignment="1">
      <alignment horizontal="right" vertical="center" wrapText="1" shrinkToFit="1"/>
    </xf>
    <xf numFmtId="177" fontId="14" fillId="0" borderId="1" xfId="22" applyNumberFormat="1" applyFont="1" applyFill="1" applyBorder="1" applyAlignment="1">
      <alignment horizontal="left" vertical="center" wrapText="1"/>
    </xf>
    <xf numFmtId="183" fontId="14" fillId="0" borderId="1" xfId="0" applyNumberFormat="1" applyFont="1" applyFill="1" applyBorder="1" applyAlignment="1">
      <alignment horizontal="right" vertical="center"/>
    </xf>
    <xf numFmtId="179" fontId="14" fillId="0" borderId="1" xfId="22" applyNumberFormat="1" applyFont="1" applyFill="1" applyBorder="1" applyAlignment="1">
      <alignment horizontal="right" vertical="center"/>
    </xf>
    <xf numFmtId="178" fontId="14" fillId="0" borderId="1" xfId="22" applyNumberFormat="1" applyFont="1" applyFill="1" applyBorder="1" applyAlignment="1">
      <alignment horizontal="right" vertical="center"/>
    </xf>
    <xf numFmtId="177" fontId="14" fillId="0" borderId="1" xfId="22" applyNumberFormat="1" applyFont="1" applyFill="1" applyBorder="1" applyAlignment="1">
      <alignment horizontal="right" vertical="center"/>
    </xf>
    <xf numFmtId="0" fontId="2" fillId="0" borderId="1" xfId="22" applyFont="1" applyFill="1" applyBorder="1" applyAlignment="1">
      <alignment horizontal="center" vertical="center"/>
    </xf>
    <xf numFmtId="2" fontId="2" fillId="0" borderId="1" xfId="22" applyNumberFormat="1" applyFont="1" applyFill="1" applyBorder="1" applyAlignment="1">
      <alignment horizontal="right" vertical="center"/>
    </xf>
    <xf numFmtId="183" fontId="2" fillId="0" borderId="1" xfId="22" applyNumberFormat="1" applyFont="1" applyFill="1" applyBorder="1" applyAlignment="1">
      <alignment horizontal="right" vertical="center"/>
    </xf>
    <xf numFmtId="177" fontId="2" fillId="0" borderId="1" xfId="22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179" fontId="14" fillId="0" borderId="1" xfId="0" applyNumberFormat="1" applyFont="1" applyFill="1" applyBorder="1" applyAlignment="1">
      <alignment horizontal="right" vertical="center"/>
    </xf>
    <xf numFmtId="178" fontId="14" fillId="0" borderId="1" xfId="0" applyNumberFormat="1" applyFont="1" applyFill="1" applyBorder="1" applyAlignment="1">
      <alignment horizontal="right" vertical="center"/>
    </xf>
    <xf numFmtId="177" fontId="14" fillId="0" borderId="1" xfId="0" applyNumberFormat="1" applyFont="1" applyFill="1" applyBorder="1" applyAlignment="1">
      <alignment vertical="center"/>
    </xf>
    <xf numFmtId="0" fontId="2" fillId="0" borderId="1" xfId="22" applyFont="1" applyFill="1" applyBorder="1" applyAlignment="1">
      <alignment horizontal="left" vertical="center"/>
    </xf>
    <xf numFmtId="183" fontId="2" fillId="0" borderId="1" xfId="0" applyNumberFormat="1" applyFont="1" applyFill="1" applyBorder="1" applyAlignment="1">
      <alignment horizontal="right" vertical="center"/>
    </xf>
    <xf numFmtId="179" fontId="2" fillId="0" borderId="1" xfId="0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vertical="center"/>
    </xf>
    <xf numFmtId="0" fontId="0" fillId="0" borderId="0" xfId="0" applyFont="1" applyFill="1" applyBorder="1"/>
    <xf numFmtId="0" fontId="14" fillId="0" borderId="1" xfId="51" applyFont="1" applyFill="1" applyBorder="1" applyAlignment="1">
      <alignment horizontal="left" vertical="center" wrapText="1"/>
    </xf>
    <xf numFmtId="177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179" fontId="0" fillId="0" borderId="0" xfId="0" applyNumberFormat="1" applyFont="1" applyFill="1" applyBorder="1" applyAlignment="1">
      <alignment vertical="center"/>
    </xf>
    <xf numFmtId="179" fontId="12" fillId="0" borderId="0" xfId="22" applyNumberFormat="1" applyFont="1" applyFill="1" applyBorder="1" applyAlignment="1">
      <alignment horizontal="left" vertical="center"/>
    </xf>
    <xf numFmtId="179" fontId="13" fillId="0" borderId="5" xfId="0" applyNumberFormat="1" applyFont="1" applyFill="1" applyBorder="1" applyAlignment="1">
      <alignment vertical="center"/>
    </xf>
    <xf numFmtId="179" fontId="13" fillId="0" borderId="0" xfId="0" applyNumberFormat="1" applyFont="1" applyFill="1" applyBorder="1" applyAlignme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_概算(12-10-13-tz)" xfId="49"/>
    <cellStyle name="常规_投资概算(13-7-05)-tz)" xfId="50"/>
    <cellStyle name="常规_概算(12-10-13-tz)" xfId="51"/>
    <cellStyle name="千位分隔_概算(12-10-13-tz) 2" xfId="52"/>
    <cellStyle name="常规_复件 概算(13-03-09-tz)" xfId="53"/>
    <cellStyle name="常规 2" xfId="54"/>
    <cellStyle name="常规 3" xfId="55"/>
    <cellStyle name="常规 4" xfId="56"/>
    <cellStyle name="常规_土建工程量表" xfId="57"/>
    <cellStyle name="样式 1" xfId="58"/>
    <cellStyle name="Normal" xfId="59"/>
  </cellStyles>
  <dxfs count="5">
    <dxf>
      <font>
        <b val="1"/>
        <i val="0"/>
        <color indexed="10"/>
      </font>
    </dxf>
    <dxf>
      <font>
        <b val="0"/>
        <i val="0"/>
        <color indexed="9"/>
      </font>
    </dxf>
    <dxf>
      <font>
        <b val="1"/>
        <i val="0"/>
        <strike val="0"/>
        <color rgb="FFFF0000"/>
      </font>
    </dxf>
    <dxf>
      <font>
        <b val="0"/>
        <i val="0"/>
        <strike val="0"/>
        <color rgb="FFFFFFFF"/>
      </font>
    </dxf>
    <dxf>
      <font>
        <b val="1"/>
        <i val="0"/>
        <color indexed="10"/>
      </font>
      <fill>
        <patternFill patternType="none"/>
      </fill>
    </dxf>
  </dxfs>
  <tableStyles count="0" defaultTableStyle="TableStyleMedium2" defaultPivotStyle="PivotStyleLight16"/>
  <colors>
    <mruColors>
      <color rgb="00FF0000"/>
      <color rgb="00808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3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99702905"/>
        <c:axId val="702400704"/>
      </c:barChart>
      <c:catAx>
        <c:axId val="99702905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702400704"/>
        <c:crosses val="autoZero"/>
        <c:auto val="1"/>
        <c:lblAlgn val="ctr"/>
        <c:lblOffset val="100"/>
        <c:noMultiLvlLbl val="0"/>
      </c:catAx>
      <c:valAx>
        <c:axId val="702400704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99702905"/>
        <c:crosses val="autoZero"/>
        <c:crossBetween val="between"/>
      </c:valAx>
    </c:plotArea>
    <c:plotVisOnly val="1"/>
    <c:dispBlanksAs val="zero"/>
    <c:showDLblsOverMax val="0"/>
    <c:extLst>
      <c:ext uri="{0b15fc19-7d7d-44ad-8c2d-2c3a37ce22c3}">
        <chartProps xmlns="https://web.wps.cn/et/2018/main" chartId="{c56dad0a-4c23-4da2-b5b0-f0ff87df49ed}"/>
      </c:ext>
    </c:extLst>
  </c:chart>
  <c:spPr>
    <a:noFill/>
    <a:ln w="9525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2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466725</xdr:colOff>
      <xdr:row>5</xdr:row>
      <xdr:rowOff>123825</xdr:rowOff>
    </xdr:to>
    <xdr:graphicFrame>
      <xdr:nvGraphicFramePr>
        <xdr:cNvPr id="180361" name="图表 1"/>
        <xdr:cNvGraphicFramePr/>
      </xdr:nvGraphicFramePr>
      <xdr:xfrm>
        <a:off x="0" y="0"/>
        <a:ext cx="3895725" cy="10287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8890</xdr:colOff>
      <xdr:row>4</xdr:row>
      <xdr:rowOff>0</xdr:rowOff>
    </xdr:to>
    <xdr:sp>
      <xdr:nvSpPr>
        <xdr:cNvPr id="183585" name="Line 1"/>
        <xdr:cNvSpPr/>
      </xdr:nvSpPr>
      <xdr:spPr>
        <a:xfrm>
          <a:off x="400050" y="625475"/>
          <a:ext cx="1629410" cy="54800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8890</xdr:colOff>
      <xdr:row>4</xdr:row>
      <xdr:rowOff>0</xdr:rowOff>
    </xdr:to>
    <xdr:sp>
      <xdr:nvSpPr>
        <xdr:cNvPr id="183586" name="Line 2"/>
        <xdr:cNvSpPr/>
      </xdr:nvSpPr>
      <xdr:spPr>
        <a:xfrm>
          <a:off x="400050" y="625475"/>
          <a:ext cx="1629410" cy="54800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12700</xdr:colOff>
      <xdr:row>15</xdr:row>
      <xdr:rowOff>9525</xdr:rowOff>
    </xdr:from>
    <xdr:to>
      <xdr:col>2</xdr:col>
      <xdr:colOff>5080</xdr:colOff>
      <xdr:row>16</xdr:row>
      <xdr:rowOff>276860</xdr:rowOff>
    </xdr:to>
    <xdr:sp>
      <xdr:nvSpPr>
        <xdr:cNvPr id="183587" name="Line 4"/>
        <xdr:cNvSpPr/>
      </xdr:nvSpPr>
      <xdr:spPr>
        <a:xfrm>
          <a:off x="403225" y="3811905"/>
          <a:ext cx="1622425" cy="5461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41910</xdr:colOff>
      <xdr:row>2</xdr:row>
      <xdr:rowOff>13335</xdr:rowOff>
    </xdr:from>
    <xdr:to>
      <xdr:col>11</xdr:col>
      <xdr:colOff>32385</xdr:colOff>
      <xdr:row>4</xdr:row>
      <xdr:rowOff>12700</xdr:rowOff>
    </xdr:to>
    <xdr:sp>
      <xdr:nvSpPr>
        <xdr:cNvPr id="183588" name="Line 1"/>
        <xdr:cNvSpPr/>
      </xdr:nvSpPr>
      <xdr:spPr>
        <a:xfrm>
          <a:off x="5427980" y="629285"/>
          <a:ext cx="1362075" cy="55689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\&#24037;&#31243;&#32463;&#27982;\&#31119;&#24314;\&#36130;&#23457;&#25991;&#20214;\&#19996;&#35199;&#20027;&#24178;&#36947;&#20108;&#26399;&#20462;&#32534;tz2013.3\&#22797;&#20214;%20&#27010;&#31639;(13-03-09-tz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70483\AppData\Roaming\kingsoft\office6\backup\&#24066;&#25919;&#24037;&#21487;\2020&#27010;&#31639;\&#38397;&#20399;&#30333;&#27801;\&#38397;&#20399;&#30333;&#27801;&#36896;&#20215;&#25991;&#20214;2020.3.11\&#38397;&#20399;&#30333;&#27801;&#27010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70483\AppData\Roaming\kingsoft\office6\backup\&#24066;&#25919;&#36896;&#20215;\02&#24066;&#25919;&#20272;&#31639;&#27010;&#31639;&#27719;&#24635;\0-2021\&#26041;&#26696;\2021.03.18&#33670;&#30000;&#36814;&#23486;&#22823;&#36947;&#35774;&#35745;&#26041;&#26696;\&#36814;&#23486;&#22823;&#36947;3.17\&#21476;&#30000;&#32769;&#26087;&#22478;&#21306;&#25913;&#36896;&#65288;&#20108;&#26399;&#65289;&#12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Up"/>
      <sheetName val="表1"/>
      <sheetName val="表2"/>
      <sheetName val="表3表4"/>
      <sheetName val="表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cro1"/>
      <sheetName val="表1"/>
      <sheetName val="表"/>
      <sheetName val="表2"/>
      <sheetName val="表5"/>
      <sheetName val="Sheet2"/>
      <sheetName val="Sheet3"/>
      <sheetName val="Sheet1 (2)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acro1"/>
      <sheetName val="古田老旧小区改造（二期）"/>
      <sheetName val="02"/>
      <sheetName val="表3表4"/>
      <sheetName val="表5"/>
    </sheetNames>
    <sheetDataSet>
      <sheetData sheetId="0" refreshError="1"/>
      <sheetData sheetId="1">
        <row r="60">
          <cell r="H60">
            <v>9.34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SheetLayoutView="60" workbookViewId="0">
      <selection activeCell="H73" sqref="H73"/>
    </sheetView>
  </sheetViews>
  <sheetFormatPr defaultColWidth="9" defaultRowHeight="14.25"/>
  <sheetData/>
  <pageMargins left="0.75" right="0.75" top="1" bottom="1" header="0.51" footer="0.51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66"/>
  <sheetViews>
    <sheetView tabSelected="1" view="pageBreakPreview" zoomScale="90" zoomScaleNormal="100" workbookViewId="0">
      <pane ySplit="4" topLeftCell="A5" activePane="bottomLeft" state="frozen"/>
      <selection/>
      <selection pane="bottomLeft" activeCell="A1" sqref="A1:N1"/>
    </sheetView>
  </sheetViews>
  <sheetFormatPr defaultColWidth="9" defaultRowHeight="14.25"/>
  <cols>
    <col min="1" max="1" width="4.875" style="4" hidden="1" customWidth="1"/>
    <col min="2" max="2" width="7.05833333333333" style="10" customWidth="1"/>
    <col min="3" max="3" width="25.6833333333333" style="11" customWidth="1"/>
    <col min="4" max="4" width="13.9916666666667" style="4" customWidth="1"/>
    <col min="5" max="5" width="14" style="4" customWidth="1"/>
    <col min="6" max="6" width="11.1166666666667" style="4" customWidth="1"/>
    <col min="7" max="7" width="13.1083333333333" style="12" customWidth="1"/>
    <col min="8" max="8" width="13.775" style="14" customWidth="1"/>
    <col min="9" max="9" width="8.25" style="4" customWidth="1"/>
    <col min="10" max="10" width="9.625" style="158" customWidth="1"/>
    <col min="11" max="11" width="11.3333333333333" style="13" hidden="1" customWidth="1"/>
    <col min="12" max="12" width="10.875" style="13" hidden="1" customWidth="1"/>
    <col min="13" max="13" width="15.375" style="14" customWidth="1"/>
    <col min="14" max="14" width="38.4416666666667" style="159" hidden="1" customWidth="1"/>
    <col min="15" max="15" width="12.8" style="4"/>
    <col min="16" max="16" width="14.125" style="4"/>
    <col min="17" max="17" width="20" style="8" customWidth="1"/>
    <col min="18" max="18" width="16.5" style="8"/>
    <col min="19" max="19" width="17.875" style="4" customWidth="1"/>
    <col min="20" max="253" width="9" style="4"/>
    <col min="254" max="16384" width="9" style="5"/>
  </cols>
  <sheetData>
    <row r="1" s="1" customFormat="1" ht="51" customHeight="1" spans="1:256">
      <c r="A1" s="16" t="s">
        <v>0</v>
      </c>
      <c r="B1" s="16"/>
      <c r="C1" s="16"/>
      <c r="D1" s="16"/>
      <c r="E1" s="16"/>
      <c r="F1" s="16"/>
      <c r="G1" s="16"/>
      <c r="H1" s="160"/>
      <c r="I1" s="16"/>
      <c r="J1" s="161"/>
      <c r="K1" s="16"/>
      <c r="L1" s="16"/>
      <c r="M1" s="17"/>
      <c r="N1" s="162"/>
      <c r="Q1" s="163"/>
      <c r="R1" s="163"/>
    </row>
    <row r="2" s="153" customFormat="1" ht="25" customHeight="1" spans="1:256">
      <c r="A2" s="153" t="s">
        <v>1</v>
      </c>
      <c r="B2" s="164" t="s">
        <v>2</v>
      </c>
      <c r="C2" s="164"/>
      <c r="D2" s="165"/>
      <c r="E2" s="165"/>
      <c r="F2" s="166"/>
      <c r="G2" s="167"/>
      <c r="H2" s="168"/>
      <c r="I2" s="165"/>
      <c r="J2" s="169"/>
      <c r="K2" s="165"/>
      <c r="L2" s="165"/>
      <c r="M2" s="170"/>
      <c r="N2" s="171"/>
      <c r="O2" s="172"/>
      <c r="P2" s="172"/>
      <c r="Q2" s="173"/>
      <c r="R2" s="173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  <c r="DC2" s="172"/>
      <c r="DD2" s="172"/>
      <c r="DE2" s="172"/>
      <c r="DF2" s="172"/>
      <c r="DG2" s="172"/>
      <c r="DH2" s="172"/>
      <c r="DI2" s="172"/>
      <c r="DJ2" s="172"/>
      <c r="DK2" s="172"/>
      <c r="DL2" s="172"/>
      <c r="DM2" s="172"/>
      <c r="DN2" s="172"/>
      <c r="DO2" s="172"/>
      <c r="DP2" s="172"/>
      <c r="DQ2" s="172"/>
      <c r="DR2" s="172"/>
      <c r="DS2" s="172"/>
      <c r="DT2" s="172"/>
      <c r="DU2" s="172"/>
      <c r="DV2" s="172"/>
      <c r="DW2" s="172"/>
      <c r="DX2" s="172"/>
      <c r="DY2" s="172"/>
      <c r="DZ2" s="172"/>
      <c r="EA2" s="172"/>
      <c r="EB2" s="172"/>
      <c r="EC2" s="172"/>
      <c r="ED2" s="172"/>
      <c r="EE2" s="172"/>
      <c r="EF2" s="172"/>
      <c r="EG2" s="172"/>
      <c r="EH2" s="172"/>
      <c r="EI2" s="172"/>
      <c r="EJ2" s="172"/>
      <c r="EK2" s="172"/>
      <c r="EL2" s="172"/>
      <c r="EM2" s="172"/>
      <c r="EN2" s="172"/>
      <c r="EO2" s="172"/>
      <c r="EP2" s="172"/>
      <c r="EQ2" s="172"/>
      <c r="ER2" s="172"/>
      <c r="ES2" s="172"/>
      <c r="ET2" s="172"/>
      <c r="EU2" s="172"/>
      <c r="EV2" s="172"/>
      <c r="EW2" s="172"/>
      <c r="EX2" s="172"/>
      <c r="EY2" s="172"/>
      <c r="EZ2" s="172"/>
      <c r="FA2" s="172"/>
      <c r="FB2" s="172"/>
      <c r="FC2" s="172"/>
      <c r="FD2" s="172"/>
      <c r="FE2" s="172"/>
      <c r="FF2" s="172"/>
      <c r="FG2" s="172"/>
      <c r="FH2" s="172"/>
      <c r="FI2" s="172"/>
      <c r="FJ2" s="172"/>
      <c r="FK2" s="172"/>
      <c r="FL2" s="172"/>
      <c r="FM2" s="172"/>
      <c r="FN2" s="172"/>
      <c r="FO2" s="172"/>
      <c r="FP2" s="172"/>
      <c r="FQ2" s="172"/>
      <c r="FR2" s="172"/>
      <c r="FS2" s="172"/>
      <c r="FT2" s="172"/>
      <c r="FU2" s="172"/>
      <c r="FV2" s="172"/>
      <c r="FW2" s="172"/>
      <c r="FX2" s="172"/>
      <c r="FY2" s="172"/>
      <c r="FZ2" s="172"/>
      <c r="GA2" s="172"/>
      <c r="GB2" s="172"/>
      <c r="GC2" s="172"/>
      <c r="GD2" s="172"/>
      <c r="GE2" s="172"/>
      <c r="GF2" s="172"/>
      <c r="GG2" s="172"/>
      <c r="GH2" s="172"/>
      <c r="GI2" s="172"/>
      <c r="GJ2" s="172"/>
      <c r="GK2" s="172"/>
      <c r="GL2" s="172"/>
      <c r="GM2" s="172"/>
      <c r="GN2" s="172"/>
      <c r="GO2" s="172"/>
      <c r="GP2" s="172"/>
      <c r="GQ2" s="172"/>
      <c r="GR2" s="172"/>
      <c r="GS2" s="172"/>
      <c r="GT2" s="172"/>
      <c r="GU2" s="172"/>
      <c r="GV2" s="172"/>
      <c r="GW2" s="172"/>
      <c r="GX2" s="172"/>
      <c r="GY2" s="172"/>
      <c r="GZ2" s="172"/>
      <c r="HA2" s="172"/>
      <c r="HB2" s="172"/>
      <c r="HC2" s="172"/>
      <c r="HD2" s="172"/>
      <c r="HE2" s="172"/>
      <c r="HF2" s="172"/>
      <c r="HG2" s="172"/>
      <c r="HH2" s="172"/>
      <c r="HI2" s="172"/>
      <c r="HJ2" s="172"/>
      <c r="HK2" s="172"/>
      <c r="HL2" s="172"/>
      <c r="HM2" s="172"/>
      <c r="HN2" s="172"/>
      <c r="HO2" s="172"/>
      <c r="HP2" s="172"/>
      <c r="HQ2" s="172"/>
      <c r="HR2" s="172"/>
      <c r="HS2" s="172"/>
      <c r="HT2" s="172"/>
      <c r="HU2" s="172"/>
      <c r="HV2" s="172"/>
      <c r="HW2" s="172"/>
      <c r="HX2" s="172"/>
      <c r="HY2" s="172"/>
      <c r="HZ2" s="172"/>
      <c r="IA2" s="172"/>
      <c r="IB2" s="172"/>
      <c r="IC2" s="172"/>
      <c r="ID2" s="172"/>
      <c r="IE2" s="172"/>
      <c r="IF2" s="172"/>
      <c r="IG2" s="172"/>
      <c r="IH2" s="172"/>
      <c r="II2" s="172"/>
      <c r="IJ2" s="172"/>
      <c r="IK2" s="172"/>
      <c r="IL2" s="172"/>
      <c r="IM2" s="172"/>
      <c r="IN2" s="172"/>
      <c r="IO2" s="172"/>
      <c r="IP2" s="172"/>
      <c r="IQ2" s="172"/>
      <c r="IR2" s="172"/>
      <c r="IS2" s="172"/>
      <c r="IT2" s="174"/>
      <c r="IU2" s="174"/>
    </row>
    <row r="3" s="154" customFormat="1" ht="25" customHeight="1" spans="1:256">
      <c r="A3" s="175" t="s">
        <v>3</v>
      </c>
      <c r="B3" s="176" t="s">
        <v>3</v>
      </c>
      <c r="C3" s="177" t="s">
        <v>4</v>
      </c>
      <c r="D3" s="178" t="s">
        <v>5</v>
      </c>
      <c r="E3" s="178"/>
      <c r="F3" s="178"/>
      <c r="G3" s="178"/>
      <c r="H3" s="179"/>
      <c r="I3" s="178" t="s">
        <v>6</v>
      </c>
      <c r="J3" s="180"/>
      <c r="K3" s="181" t="s">
        <v>7</v>
      </c>
      <c r="L3" s="182" t="s">
        <v>8</v>
      </c>
      <c r="M3" s="183" t="s">
        <v>9</v>
      </c>
      <c r="N3" s="183" t="s">
        <v>10</v>
      </c>
      <c r="O3" s="184"/>
      <c r="P3" s="184"/>
      <c r="Q3" s="185"/>
      <c r="R3" s="185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  <c r="IM3" s="184"/>
      <c r="IN3" s="184"/>
      <c r="IO3" s="184"/>
      <c r="IP3" s="184"/>
      <c r="IQ3" s="184"/>
      <c r="IR3" s="184"/>
      <c r="IS3" s="184"/>
      <c r="IT3" s="186"/>
      <c r="IU3" s="186"/>
    </row>
    <row r="4" s="154" customFormat="1" ht="53" customHeight="1" spans="1:256">
      <c r="A4" s="175"/>
      <c r="B4" s="187"/>
      <c r="C4" s="177"/>
      <c r="D4" s="178" t="s">
        <v>11</v>
      </c>
      <c r="E4" s="178" t="s">
        <v>12</v>
      </c>
      <c r="F4" s="183" t="s">
        <v>13</v>
      </c>
      <c r="G4" s="188" t="s">
        <v>14</v>
      </c>
      <c r="H4" s="179" t="s">
        <v>15</v>
      </c>
      <c r="I4" s="178" t="s">
        <v>16</v>
      </c>
      <c r="J4" s="180" t="s">
        <v>17</v>
      </c>
      <c r="K4" s="189"/>
      <c r="L4" s="182"/>
      <c r="M4" s="183"/>
      <c r="N4" s="183"/>
      <c r="O4" s="184"/>
      <c r="P4" s="184"/>
      <c r="Q4" s="185"/>
      <c r="R4" s="185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84"/>
      <c r="FU4" s="184"/>
      <c r="FV4" s="184"/>
      <c r="FW4" s="184"/>
      <c r="FX4" s="184"/>
      <c r="FY4" s="184"/>
      <c r="FZ4" s="184"/>
      <c r="GA4" s="184"/>
      <c r="GB4" s="184"/>
      <c r="GC4" s="184"/>
      <c r="GD4" s="184"/>
      <c r="GE4" s="184"/>
      <c r="GF4" s="184"/>
      <c r="GG4" s="184"/>
      <c r="GH4" s="184"/>
      <c r="GI4" s="184"/>
      <c r="GJ4" s="184"/>
      <c r="GK4" s="184"/>
      <c r="GL4" s="184"/>
      <c r="GM4" s="184"/>
      <c r="GN4" s="184"/>
      <c r="GO4" s="184"/>
      <c r="GP4" s="184"/>
      <c r="GQ4" s="184"/>
      <c r="GR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  <c r="HL4" s="184"/>
      <c r="HM4" s="184"/>
      <c r="HN4" s="184"/>
      <c r="HO4" s="184"/>
      <c r="HP4" s="184"/>
      <c r="HQ4" s="184"/>
      <c r="HR4" s="184"/>
      <c r="HS4" s="184"/>
      <c r="HT4" s="184"/>
      <c r="HU4" s="184"/>
      <c r="HV4" s="184"/>
      <c r="HW4" s="184"/>
      <c r="HX4" s="184"/>
      <c r="HY4" s="184"/>
      <c r="HZ4" s="184"/>
      <c r="IA4" s="184"/>
      <c r="IB4" s="184"/>
      <c r="IC4" s="184"/>
      <c r="ID4" s="184"/>
      <c r="IE4" s="184"/>
      <c r="IF4" s="184"/>
      <c r="IG4" s="184"/>
      <c r="IH4" s="184"/>
      <c r="II4" s="184"/>
      <c r="IJ4" s="184"/>
      <c r="IK4" s="184"/>
      <c r="IL4" s="184"/>
      <c r="IM4" s="184"/>
      <c r="IN4" s="184"/>
      <c r="IO4" s="184"/>
      <c r="IP4" s="184"/>
      <c r="IQ4" s="184"/>
      <c r="IR4" s="184"/>
      <c r="IS4" s="184"/>
      <c r="IT4" s="186"/>
      <c r="IU4" s="186"/>
    </row>
    <row r="5" ht="25" hidden="1" customHeight="1" spans="1:256">
      <c r="A5" s="28">
        <v>1</v>
      </c>
      <c r="B5" s="190">
        <v>2</v>
      </c>
      <c r="C5" s="191">
        <v>3</v>
      </c>
      <c r="D5" s="192">
        <v>4</v>
      </c>
      <c r="E5" s="192">
        <v>5</v>
      </c>
      <c r="F5" s="192">
        <v>6</v>
      </c>
      <c r="G5" s="192">
        <v>7</v>
      </c>
      <c r="H5" s="193">
        <v>8</v>
      </c>
      <c r="I5" s="192">
        <v>9</v>
      </c>
      <c r="J5" s="192">
        <v>10</v>
      </c>
      <c r="K5" s="194"/>
      <c r="L5" s="194"/>
      <c r="M5" s="192">
        <v>11</v>
      </c>
      <c r="N5" s="195">
        <v>12</v>
      </c>
    </row>
    <row r="6" s="155" customFormat="1" ht="25" customHeight="1" spans="1:256">
      <c r="B6" s="72" t="s">
        <v>18</v>
      </c>
      <c r="C6" s="196" t="s">
        <v>19</v>
      </c>
      <c r="D6" s="197">
        <f>D7+D9+D10+D11+D8</f>
        <v>552.7832</v>
      </c>
      <c r="E6" s="197">
        <f>E7+E9+E10+E8+E11</f>
        <v>451.8533</v>
      </c>
      <c r="F6" s="197"/>
      <c r="G6" s="197"/>
      <c r="H6" s="198">
        <f t="shared" ref="H6:H8" si="0">SUM(D6:G6)</f>
        <v>1004.6365</v>
      </c>
      <c r="I6" s="199" t="s">
        <v>20</v>
      </c>
      <c r="J6" s="200">
        <v>1.831</v>
      </c>
      <c r="K6" s="197"/>
      <c r="L6" s="197"/>
      <c r="M6" s="197">
        <f t="shared" ref="M6:M11" si="1">H6*10000/J6</f>
        <v>5486818.67831786</v>
      </c>
      <c r="N6" s="201"/>
      <c r="O6" s="6"/>
      <c r="P6" s="6"/>
      <c r="Q6" s="7"/>
      <c r="R6" s="7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157"/>
      <c r="IU6" s="157"/>
    </row>
    <row r="7" s="156" customFormat="1" ht="25" customHeight="1" spans="1:256">
      <c r="A7" s="40"/>
      <c r="B7" s="202" t="s">
        <v>21</v>
      </c>
      <c r="C7" s="203" t="s">
        <v>22</v>
      </c>
      <c r="D7" s="198">
        <v>322.372</v>
      </c>
      <c r="E7" s="198"/>
      <c r="F7" s="198"/>
      <c r="G7" s="198"/>
      <c r="H7" s="198">
        <f t="shared" si="0"/>
        <v>322.372</v>
      </c>
      <c r="I7" s="199" t="s">
        <v>20</v>
      </c>
      <c r="J7" s="200">
        <v>1.831</v>
      </c>
      <c r="K7" s="204"/>
      <c r="L7" s="204"/>
      <c r="M7" s="197">
        <f t="shared" si="1"/>
        <v>1760633.5335882</v>
      </c>
      <c r="N7" s="205"/>
      <c r="O7" s="6"/>
      <c r="P7" s="6"/>
      <c r="Q7" s="7"/>
      <c r="R7" s="7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157"/>
      <c r="IU7" s="157"/>
      <c r="IV7" s="5"/>
    </row>
    <row r="8" s="156" customFormat="1" ht="25" customHeight="1" spans="1:256">
      <c r="A8" s="40"/>
      <c r="B8" s="202" t="s">
        <v>23</v>
      </c>
      <c r="C8" s="203" t="s">
        <v>24</v>
      </c>
      <c r="D8" s="198">
        <v>215.2858</v>
      </c>
      <c r="E8" s="198"/>
      <c r="F8" s="198"/>
      <c r="G8" s="198"/>
      <c r="H8" s="198">
        <f t="shared" si="0"/>
        <v>215.2858</v>
      </c>
      <c r="I8" s="199" t="s">
        <v>20</v>
      </c>
      <c r="J8" s="200">
        <v>1.831</v>
      </c>
      <c r="K8" s="204"/>
      <c r="L8" s="204"/>
      <c r="M8" s="197">
        <f t="shared" si="1"/>
        <v>1175782.63244129</v>
      </c>
      <c r="N8" s="205"/>
      <c r="O8" s="6"/>
      <c r="P8" s="6"/>
      <c r="Q8" s="7"/>
      <c r="R8" s="7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157"/>
      <c r="IU8" s="157"/>
      <c r="IV8" s="5"/>
    </row>
    <row r="9" s="156" customFormat="1" ht="25" customHeight="1" spans="1:256">
      <c r="A9" s="40"/>
      <c r="B9" s="202" t="s">
        <v>25</v>
      </c>
      <c r="C9" s="203" t="s">
        <v>26</v>
      </c>
      <c r="D9" s="198">
        <v>15.1254</v>
      </c>
      <c r="E9" s="198"/>
      <c r="F9" s="198"/>
      <c r="G9" s="198"/>
      <c r="H9" s="198">
        <v>15.1254</v>
      </c>
      <c r="I9" s="199" t="s">
        <v>20</v>
      </c>
      <c r="J9" s="200">
        <v>1.831</v>
      </c>
      <c r="K9" s="197"/>
      <c r="L9" s="197">
        <v>38</v>
      </c>
      <c r="M9" s="197">
        <f t="shared" si="1"/>
        <v>82607.318405243</v>
      </c>
      <c r="N9" s="205"/>
      <c r="O9" s="6"/>
      <c r="P9" s="6"/>
      <c r="Q9" s="7"/>
      <c r="R9" s="7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157"/>
      <c r="IU9" s="157"/>
      <c r="IV9" s="5"/>
    </row>
    <row r="10" s="156" customFormat="1" ht="25" customHeight="1" spans="1:256">
      <c r="A10" s="40"/>
      <c r="B10" s="202" t="s">
        <v>27</v>
      </c>
      <c r="C10" s="203" t="s">
        <v>28</v>
      </c>
      <c r="D10" s="198"/>
      <c r="E10" s="198">
        <v>302.3153</v>
      </c>
      <c r="F10" s="198"/>
      <c r="G10" s="198"/>
      <c r="H10" s="198">
        <f>SUM(D10:G10)</f>
        <v>302.3153</v>
      </c>
      <c r="I10" s="199" t="s">
        <v>20</v>
      </c>
      <c r="J10" s="200">
        <v>1.831</v>
      </c>
      <c r="K10" s="197"/>
      <c r="L10" s="197"/>
      <c r="M10" s="197">
        <f t="shared" si="1"/>
        <v>1651093.93773894</v>
      </c>
      <c r="N10" s="205"/>
      <c r="O10" s="6"/>
      <c r="P10" s="6"/>
      <c r="Q10" s="7"/>
      <c r="R10" s="7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157"/>
      <c r="IU10" s="157"/>
      <c r="IV10" s="5"/>
    </row>
    <row r="11" s="156" customFormat="1" ht="25" customHeight="1" spans="1:256">
      <c r="A11" s="40"/>
      <c r="B11" s="202" t="s">
        <v>29</v>
      </c>
      <c r="C11" s="203" t="s">
        <v>30</v>
      </c>
      <c r="D11" s="198"/>
      <c r="E11" s="198">
        <v>149.538</v>
      </c>
      <c r="F11" s="198"/>
      <c r="G11" s="198"/>
      <c r="H11" s="198">
        <f>SUM(D11:G11)</f>
        <v>149.538</v>
      </c>
      <c r="I11" s="199" t="s">
        <v>20</v>
      </c>
      <c r="J11" s="200">
        <v>1.831</v>
      </c>
      <c r="K11" s="197"/>
      <c r="L11" s="197"/>
      <c r="M11" s="197">
        <f t="shared" si="1"/>
        <v>816701.256144184</v>
      </c>
      <c r="N11" s="205"/>
      <c r="O11" s="6"/>
      <c r="P11" s="6"/>
      <c r="Q11" s="7"/>
      <c r="R11" s="7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157"/>
      <c r="IU11" s="157"/>
      <c r="IV11" s="5"/>
    </row>
    <row r="12" s="6" customFormat="1" ht="25" customHeight="1" spans="1:256">
      <c r="B12" s="72" t="s">
        <v>31</v>
      </c>
      <c r="C12" s="196" t="s">
        <v>32</v>
      </c>
      <c r="D12" s="197"/>
      <c r="E12" s="206"/>
      <c r="F12" s="206"/>
      <c r="G12" s="197">
        <f t="shared" ref="G12:G18" si="2">H12</f>
        <v>183.4756638</v>
      </c>
      <c r="H12" s="197">
        <f>SUM(H13:H30)</f>
        <v>183.4756638</v>
      </c>
      <c r="I12" s="199"/>
      <c r="J12" s="207"/>
      <c r="K12" s="208"/>
      <c r="L12" s="208"/>
      <c r="M12" s="209"/>
      <c r="N12" s="201"/>
      <c r="Q12" s="7"/>
      <c r="R12" s="7"/>
      <c r="IT12" s="157"/>
      <c r="IU12" s="157"/>
    </row>
    <row r="13" s="4" customFormat="1" ht="25" customHeight="1" spans="1:256">
      <c r="A13" s="72"/>
      <c r="B13" s="210">
        <v>1</v>
      </c>
      <c r="C13" s="133" t="s">
        <v>33</v>
      </c>
      <c r="D13" s="211"/>
      <c r="E13" s="211"/>
      <c r="F13" s="211"/>
      <c r="G13" s="212">
        <f t="shared" si="2"/>
        <v>15.06</v>
      </c>
      <c r="H13" s="212">
        <f>ROUND(15+(H6-1000)*1.2%,2)</f>
        <v>15.06</v>
      </c>
      <c r="I13" s="199"/>
      <c r="J13" s="207"/>
      <c r="K13" s="208"/>
      <c r="L13" s="208"/>
      <c r="M13" s="213"/>
      <c r="N13" s="148" t="s">
        <v>34</v>
      </c>
      <c r="Q13" s="8"/>
      <c r="R13" s="8"/>
      <c r="IT13" s="5"/>
      <c r="IU13" s="5"/>
      <c r="IV13" s="5"/>
    </row>
    <row r="14" s="4" customFormat="1" ht="25" customHeight="1" spans="1:256">
      <c r="A14" s="72"/>
      <c r="B14" s="210">
        <v>2</v>
      </c>
      <c r="C14" s="133" t="s">
        <v>35</v>
      </c>
      <c r="D14" s="211"/>
      <c r="E14" s="211"/>
      <c r="F14" s="211"/>
      <c r="G14" s="212">
        <f t="shared" si="2"/>
        <v>25.602</v>
      </c>
      <c r="H14" s="212">
        <f>ROUND((78.1-30.1)/10000*(H6-1000)+30.1,2)*1*0.85</f>
        <v>25.602</v>
      </c>
      <c r="I14" s="199"/>
      <c r="J14" s="207"/>
      <c r="K14" s="208"/>
      <c r="L14" s="208"/>
      <c r="M14" s="213"/>
      <c r="N14" s="148" t="s">
        <v>36</v>
      </c>
      <c r="Q14" s="8"/>
      <c r="R14" s="8"/>
      <c r="IT14" s="5"/>
      <c r="IU14" s="5"/>
      <c r="IV14" s="5"/>
    </row>
    <row r="15" s="4" customFormat="1" ht="25" customHeight="1" spans="1:256">
      <c r="A15" s="72"/>
      <c r="B15" s="210">
        <v>3</v>
      </c>
      <c r="C15" s="133" t="s">
        <v>37</v>
      </c>
      <c r="D15" s="211"/>
      <c r="E15" s="211"/>
      <c r="F15" s="211"/>
      <c r="G15" s="212">
        <f t="shared" si="2"/>
        <v>3.36</v>
      </c>
      <c r="H15" s="212">
        <f>ROUND((500*0.35%+(500)*0.32%+(H6-1000)*0.28%),2)</f>
        <v>3.36</v>
      </c>
      <c r="I15" s="199"/>
      <c r="J15" s="207"/>
      <c r="K15" s="208"/>
      <c r="L15" s="208"/>
      <c r="M15" s="213"/>
      <c r="N15" s="148" t="s">
        <v>38</v>
      </c>
      <c r="Q15" s="8"/>
      <c r="R15" s="8"/>
      <c r="IT15" s="5"/>
      <c r="IU15" s="5"/>
      <c r="IV15" s="5"/>
    </row>
    <row r="16" s="4" customFormat="1" ht="25" customHeight="1" spans="1:256">
      <c r="A16" s="72"/>
      <c r="B16" s="210">
        <v>4</v>
      </c>
      <c r="C16" s="133" t="s">
        <v>39</v>
      </c>
      <c r="D16" s="211"/>
      <c r="E16" s="211"/>
      <c r="F16" s="211"/>
      <c r="G16" s="212">
        <f t="shared" si="2"/>
        <v>9.04</v>
      </c>
      <c r="H16" s="212">
        <f>ROUND((27-0)/3000*(H6-0)+0,2)</f>
        <v>9.04</v>
      </c>
      <c r="I16" s="199"/>
      <c r="J16" s="207"/>
      <c r="K16" s="208"/>
      <c r="L16" s="208"/>
      <c r="M16" s="213"/>
      <c r="N16" s="148" t="s">
        <v>40</v>
      </c>
      <c r="Q16" s="8"/>
      <c r="R16" s="8"/>
      <c r="IT16" s="5"/>
      <c r="IU16" s="5"/>
      <c r="IV16" s="5"/>
    </row>
    <row r="17" s="4" customFormat="1" ht="25" customHeight="1" spans="1:256">
      <c r="A17" s="72"/>
      <c r="B17" s="210">
        <v>5</v>
      </c>
      <c r="C17" s="133" t="s">
        <v>41</v>
      </c>
      <c r="D17" s="211"/>
      <c r="E17" s="211"/>
      <c r="F17" s="211"/>
      <c r="G17" s="212">
        <f t="shared" si="2"/>
        <v>35.16</v>
      </c>
      <c r="H17" s="212">
        <f>ROUND(H6*3.5%,2)</f>
        <v>35.16</v>
      </c>
      <c r="I17" s="199"/>
      <c r="J17" s="207"/>
      <c r="K17" s="208"/>
      <c r="L17" s="208"/>
      <c r="M17" s="213"/>
      <c r="N17" s="148" t="s">
        <v>42</v>
      </c>
      <c r="Q17" s="8"/>
      <c r="R17" s="8"/>
      <c r="IT17" s="5"/>
      <c r="IU17" s="5"/>
      <c r="IV17" s="5"/>
    </row>
    <row r="18" s="4" customFormat="1" ht="25" customHeight="1" spans="1:256">
      <c r="A18" s="72"/>
      <c r="B18" s="210">
        <v>6</v>
      </c>
      <c r="C18" s="133" t="s">
        <v>43</v>
      </c>
      <c r="D18" s="211"/>
      <c r="E18" s="211"/>
      <c r="F18" s="211"/>
      <c r="G18" s="212">
        <f t="shared" si="2"/>
        <v>38.95</v>
      </c>
      <c r="H18" s="212">
        <f>ROUND((103.8-38.8)/2000*(H6-1000)+38.8,2)</f>
        <v>38.95</v>
      </c>
      <c r="I18" s="199"/>
      <c r="J18" s="207"/>
      <c r="K18" s="208"/>
      <c r="L18" s="208"/>
      <c r="M18" s="213"/>
      <c r="N18" s="148" t="s">
        <v>44</v>
      </c>
      <c r="Q18" s="8"/>
      <c r="R18" s="8"/>
      <c r="IT18" s="5"/>
      <c r="IU18" s="5"/>
      <c r="IV18" s="5"/>
    </row>
    <row r="19" s="4" customFormat="1" ht="25" customHeight="1" spans="1:256">
      <c r="A19" s="72"/>
      <c r="B19" s="210">
        <v>7</v>
      </c>
      <c r="C19" s="133" t="s">
        <v>45</v>
      </c>
      <c r="D19" s="211"/>
      <c r="E19" s="211"/>
      <c r="F19" s="211"/>
      <c r="G19" s="212">
        <f t="shared" ref="G19:G34" si="3">H19</f>
        <v>2.44</v>
      </c>
      <c r="H19" s="212">
        <f>ROUND((7.3-0)/3000*(H6-0)+0,2)</f>
        <v>2.44</v>
      </c>
      <c r="I19" s="199"/>
      <c r="J19" s="207"/>
      <c r="K19" s="208"/>
      <c r="L19" s="208"/>
      <c r="M19" s="213"/>
      <c r="N19" s="148" t="s">
        <v>46</v>
      </c>
      <c r="Q19" s="8"/>
      <c r="R19" s="8"/>
      <c r="IT19" s="5"/>
      <c r="IU19" s="5"/>
      <c r="IV19" s="5"/>
    </row>
    <row r="20" s="4" customFormat="1" ht="25" customHeight="1" spans="1:256">
      <c r="A20" s="72"/>
      <c r="B20" s="210">
        <v>8</v>
      </c>
      <c r="C20" s="133" t="s">
        <v>47</v>
      </c>
      <c r="D20" s="211"/>
      <c r="E20" s="211"/>
      <c r="F20" s="211"/>
      <c r="G20" s="212">
        <f t="shared" si="3"/>
        <v>1.2971</v>
      </c>
      <c r="H20" s="212">
        <f>5971/10000+0.7</f>
        <v>1.2971</v>
      </c>
      <c r="I20" s="199"/>
      <c r="J20" s="207"/>
      <c r="K20" s="208"/>
      <c r="L20" s="208"/>
      <c r="M20" s="213"/>
      <c r="N20" s="148" t="s">
        <v>48</v>
      </c>
      <c r="Q20" s="8"/>
      <c r="R20" s="8"/>
      <c r="IT20" s="5"/>
      <c r="IU20" s="5"/>
      <c r="IV20" s="5"/>
    </row>
    <row r="21" s="4" customFormat="1" ht="25" customHeight="1" spans="1:256">
      <c r="A21" s="72"/>
      <c r="B21" s="210">
        <v>9</v>
      </c>
      <c r="C21" s="133" t="s">
        <v>49</v>
      </c>
      <c r="D21" s="211"/>
      <c r="E21" s="211"/>
      <c r="F21" s="211"/>
      <c r="G21" s="212">
        <f t="shared" si="3"/>
        <v>3.01</v>
      </c>
      <c r="H21" s="212">
        <f>ROUND(H6*0.3%,2)</f>
        <v>3.01</v>
      </c>
      <c r="I21" s="199"/>
      <c r="J21" s="207"/>
      <c r="K21" s="208"/>
      <c r="L21" s="208"/>
      <c r="M21" s="213"/>
      <c r="N21" s="148" t="s">
        <v>50</v>
      </c>
      <c r="Q21" s="8"/>
      <c r="R21" s="8"/>
      <c r="IT21" s="5"/>
      <c r="IU21" s="5"/>
      <c r="IV21" s="5"/>
    </row>
    <row r="22" s="4" customFormat="1" ht="25" customHeight="1" spans="1:256">
      <c r="A22" s="72"/>
      <c r="B22" s="210">
        <v>10</v>
      </c>
      <c r="C22" s="133" t="s">
        <v>51</v>
      </c>
      <c r="D22" s="211"/>
      <c r="E22" s="211"/>
      <c r="F22" s="211"/>
      <c r="G22" s="212">
        <f t="shared" si="3"/>
        <v>10.05</v>
      </c>
      <c r="H22" s="212">
        <f>ROUND(H6*1%,2)</f>
        <v>10.05</v>
      </c>
      <c r="I22" s="199"/>
      <c r="J22" s="207"/>
      <c r="K22" s="208"/>
      <c r="L22" s="208"/>
      <c r="M22" s="213"/>
      <c r="N22" s="148" t="s">
        <v>52</v>
      </c>
      <c r="Q22" s="8"/>
      <c r="R22" s="8"/>
      <c r="IT22" s="5"/>
      <c r="IU22" s="5"/>
      <c r="IV22" s="5"/>
    </row>
    <row r="23" s="4" customFormat="1" ht="25" customHeight="1" spans="1:256">
      <c r="A23" s="72"/>
      <c r="B23" s="210">
        <v>11</v>
      </c>
      <c r="C23" s="133" t="s">
        <v>53</v>
      </c>
      <c r="D23" s="211"/>
      <c r="E23" s="211"/>
      <c r="F23" s="211"/>
      <c r="G23" s="212">
        <f t="shared" si="3"/>
        <v>5.02</v>
      </c>
      <c r="H23" s="212">
        <f>ROUND(H6*0.5%,2)</f>
        <v>5.02</v>
      </c>
      <c r="I23" s="199"/>
      <c r="J23" s="207"/>
      <c r="K23" s="208"/>
      <c r="L23" s="208"/>
      <c r="M23" s="213"/>
      <c r="N23" s="214" t="s">
        <v>42</v>
      </c>
      <c r="Q23" s="8"/>
      <c r="R23" s="8"/>
      <c r="IT23" s="5"/>
      <c r="IU23" s="5"/>
      <c r="IV23" s="5"/>
    </row>
    <row r="24" s="4" customFormat="1" ht="25" customHeight="1" spans="1:256">
      <c r="A24" s="72"/>
      <c r="B24" s="210">
        <v>12</v>
      </c>
      <c r="C24" s="133" t="s">
        <v>54</v>
      </c>
      <c r="D24" s="211"/>
      <c r="E24" s="211"/>
      <c r="F24" s="211"/>
      <c r="G24" s="212">
        <f t="shared" si="3"/>
        <v>11.53</v>
      </c>
      <c r="H24" s="212">
        <f>ROUND(400*1%+400*1%+(500)*0.7%+(H6-1000)*0.55%,2)</f>
        <v>11.53</v>
      </c>
      <c r="I24" s="199"/>
      <c r="J24" s="207"/>
      <c r="K24" s="208"/>
      <c r="L24" s="208"/>
      <c r="M24" s="213"/>
      <c r="N24" s="148" t="s">
        <v>55</v>
      </c>
      <c r="Q24" s="8"/>
      <c r="R24" s="8"/>
      <c r="IT24" s="5"/>
      <c r="IU24" s="5"/>
      <c r="IV24" s="5"/>
    </row>
    <row r="25" s="4" customFormat="1" ht="25" customHeight="1" spans="1:256">
      <c r="A25" s="72"/>
      <c r="B25" s="210">
        <v>13</v>
      </c>
      <c r="C25" s="133" t="s">
        <v>56</v>
      </c>
      <c r="D25" s="211"/>
      <c r="E25" s="211"/>
      <c r="F25" s="211"/>
      <c r="G25" s="212">
        <f t="shared" si="3"/>
        <v>3.895</v>
      </c>
      <c r="H25" s="212">
        <f>H18*10%</f>
        <v>3.895</v>
      </c>
      <c r="I25" s="199"/>
      <c r="J25" s="207"/>
      <c r="K25" s="208"/>
      <c r="L25" s="208"/>
      <c r="M25" s="213"/>
      <c r="N25" s="214" t="s">
        <v>57</v>
      </c>
      <c r="Q25" s="8"/>
      <c r="R25" s="8"/>
      <c r="IT25" s="5"/>
      <c r="IU25" s="5"/>
      <c r="IV25" s="5"/>
    </row>
    <row r="26" s="4" customFormat="1" ht="25" customHeight="1" spans="1:256">
      <c r="A26" s="72"/>
      <c r="B26" s="210">
        <v>14</v>
      </c>
      <c r="C26" s="133" t="s">
        <v>58</v>
      </c>
      <c r="D26" s="211"/>
      <c r="E26" s="211"/>
      <c r="F26" s="211"/>
      <c r="G26" s="212">
        <f t="shared" si="3"/>
        <v>3.116</v>
      </c>
      <c r="H26" s="212">
        <f>H18*8%</f>
        <v>3.116</v>
      </c>
      <c r="I26" s="199"/>
      <c r="J26" s="207"/>
      <c r="K26" s="208"/>
      <c r="L26" s="208"/>
      <c r="M26" s="213"/>
      <c r="N26" s="214" t="s">
        <v>57</v>
      </c>
      <c r="Q26" s="8"/>
      <c r="R26" s="8"/>
      <c r="IT26" s="5"/>
      <c r="IU26" s="5"/>
      <c r="IV26" s="5"/>
    </row>
    <row r="27" s="4" customFormat="1" ht="25" customHeight="1" spans="1:256">
      <c r="A27" s="72"/>
      <c r="B27" s="210">
        <v>15</v>
      </c>
      <c r="C27" s="133" t="s">
        <v>59</v>
      </c>
      <c r="D27" s="211"/>
      <c r="E27" s="211"/>
      <c r="F27" s="211"/>
      <c r="G27" s="212">
        <f t="shared" si="3"/>
        <v>0.74</v>
      </c>
      <c r="H27" s="212">
        <f>ROUND(100*0.17%+400*0.14%+(H6-500)*0.11%%,2)</f>
        <v>0.74</v>
      </c>
      <c r="I27" s="199"/>
      <c r="J27" s="207"/>
      <c r="K27" s="208"/>
      <c r="L27" s="208"/>
      <c r="M27" s="213"/>
      <c r="N27" s="214" t="s">
        <v>57</v>
      </c>
      <c r="Q27" s="8"/>
      <c r="R27" s="8"/>
      <c r="IT27" s="5"/>
      <c r="IU27" s="5"/>
      <c r="IV27" s="5"/>
    </row>
    <row r="28" s="4" customFormat="1" ht="25" customHeight="1" spans="1:256">
      <c r="A28" s="72"/>
      <c r="B28" s="210">
        <v>16</v>
      </c>
      <c r="C28" s="133" t="s">
        <v>60</v>
      </c>
      <c r="D28" s="211"/>
      <c r="E28" s="211"/>
      <c r="F28" s="211"/>
      <c r="G28" s="212">
        <f t="shared" si="3"/>
        <v>4</v>
      </c>
      <c r="H28" s="212">
        <v>4</v>
      </c>
      <c r="I28" s="199"/>
      <c r="J28" s="207"/>
      <c r="K28" s="208"/>
      <c r="L28" s="208"/>
      <c r="M28" s="213"/>
      <c r="N28" s="148" t="s">
        <v>61</v>
      </c>
      <c r="Q28" s="8"/>
      <c r="R28" s="8"/>
      <c r="IT28" s="5"/>
      <c r="IU28" s="5"/>
      <c r="IV28" s="5"/>
    </row>
    <row r="29" s="4" customFormat="1" ht="25" customHeight="1" spans="1:256">
      <c r="A29" s="72"/>
      <c r="B29" s="210">
        <v>17</v>
      </c>
      <c r="C29" s="133" t="s">
        <v>62</v>
      </c>
      <c r="D29" s="211"/>
      <c r="E29" s="211"/>
      <c r="F29" s="211"/>
      <c r="G29" s="212">
        <f>H6*1.2/100*0.1</f>
        <v>1.2055638</v>
      </c>
      <c r="H29" s="212">
        <f>G29</f>
        <v>1.2055638</v>
      </c>
      <c r="I29" s="199"/>
      <c r="J29" s="207"/>
      <c r="K29" s="208"/>
      <c r="L29" s="208"/>
      <c r="M29" s="213"/>
      <c r="N29" s="148" t="s">
        <v>63</v>
      </c>
      <c r="Q29" s="8"/>
      <c r="R29" s="8"/>
      <c r="IT29" s="5"/>
      <c r="IU29" s="5"/>
      <c r="IV29" s="5"/>
    </row>
    <row r="30" s="4" customFormat="1" ht="25" customHeight="1" spans="1:256">
      <c r="A30" s="72"/>
      <c r="B30" s="210">
        <v>18</v>
      </c>
      <c r="C30" s="133" t="s">
        <v>64</v>
      </c>
      <c r="D30" s="212"/>
      <c r="E30" s="212"/>
      <c r="F30" s="212"/>
      <c r="G30" s="212">
        <f>H30</f>
        <v>10</v>
      </c>
      <c r="H30" s="212">
        <v>10</v>
      </c>
      <c r="I30" s="199"/>
      <c r="J30" s="207"/>
      <c r="K30" s="208"/>
      <c r="L30" s="208"/>
      <c r="M30" s="213"/>
      <c r="N30" s="148" t="s">
        <v>61</v>
      </c>
      <c r="Q30" s="8"/>
      <c r="R30" s="8"/>
      <c r="IT30" s="5"/>
      <c r="IU30" s="5"/>
      <c r="IV30" s="5"/>
    </row>
    <row r="31" s="157" customFormat="1" ht="25" customHeight="1" spans="1:256">
      <c r="B31" s="72" t="s">
        <v>65</v>
      </c>
      <c r="C31" s="196" t="s">
        <v>66</v>
      </c>
      <c r="D31" s="197"/>
      <c r="E31" s="206"/>
      <c r="F31" s="206"/>
      <c r="G31" s="197">
        <f>H31</f>
        <v>59.40560819</v>
      </c>
      <c r="H31" s="197">
        <f>H32</f>
        <v>59.40560819</v>
      </c>
      <c r="I31" s="215"/>
      <c r="J31" s="216"/>
      <c r="K31" s="217"/>
      <c r="L31" s="217"/>
      <c r="M31" s="218"/>
      <c r="N31" s="201"/>
      <c r="O31" s="6"/>
      <c r="P31" s="6"/>
      <c r="Q31" s="7"/>
      <c r="R31" s="7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</row>
    <row r="32" s="5" customFormat="1" ht="25" customHeight="1" spans="1:256">
      <c r="A32" s="21"/>
      <c r="B32" s="191" t="s">
        <v>67</v>
      </c>
      <c r="C32" s="219" t="s">
        <v>68</v>
      </c>
      <c r="D32" s="212"/>
      <c r="E32" s="220"/>
      <c r="F32" s="220"/>
      <c r="G32" s="212">
        <f>H32</f>
        <v>59.40560819</v>
      </c>
      <c r="H32" s="212">
        <f>(H6+H12)*5%</f>
        <v>59.40560819</v>
      </c>
      <c r="I32" s="192"/>
      <c r="J32" s="221"/>
      <c r="K32" s="222"/>
      <c r="L32" s="222"/>
      <c r="M32" s="223"/>
      <c r="N32" s="148" t="s">
        <v>69</v>
      </c>
      <c r="O32" s="4"/>
      <c r="Q32" s="224"/>
      <c r="R32" s="224"/>
    </row>
    <row r="33" s="157" customFormat="1" ht="25" hidden="1" customHeight="1" spans="1:255">
      <c r="B33" s="72"/>
      <c r="C33" s="196" t="s">
        <v>70</v>
      </c>
      <c r="D33" s="197">
        <f>D31+D12+D6</f>
        <v>552.7832</v>
      </c>
      <c r="E33" s="197">
        <f>E31+E12+E6</f>
        <v>451.8533</v>
      </c>
      <c r="F33" s="197">
        <f>F31+F12+F6</f>
        <v>0</v>
      </c>
      <c r="G33" s="197">
        <f>G31+G12+G6</f>
        <v>242.88127199</v>
      </c>
      <c r="H33" s="197">
        <f>H31+H12+H6</f>
        <v>1247.51777199</v>
      </c>
      <c r="I33" s="215"/>
      <c r="J33" s="216"/>
      <c r="K33" s="217"/>
      <c r="L33" s="217"/>
      <c r="M33" s="218"/>
      <c r="N33" s="148" t="s">
        <v>71</v>
      </c>
      <c r="O33" s="6"/>
      <c r="P33" s="6"/>
      <c r="Q33" s="7"/>
      <c r="R33" s="7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</row>
    <row r="34" s="155" customFormat="1" ht="25" hidden="1" customHeight="1" spans="1:255">
      <c r="B34" s="72" t="s">
        <v>72</v>
      </c>
      <c r="C34" s="225" t="s">
        <v>73</v>
      </c>
      <c r="D34" s="197"/>
      <c r="E34" s="206"/>
      <c r="F34" s="206"/>
      <c r="G34" s="197"/>
      <c r="H34" s="197"/>
      <c r="I34" s="215"/>
      <c r="J34" s="216"/>
      <c r="K34" s="217"/>
      <c r="L34" s="217"/>
      <c r="M34" s="218"/>
      <c r="N34" s="201"/>
      <c r="O34" s="6"/>
      <c r="P34" s="6"/>
      <c r="Q34" s="7"/>
      <c r="R34" s="7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157"/>
      <c r="IU34" s="157"/>
    </row>
    <row r="35" ht="25" hidden="1" customHeight="1" spans="1:255">
      <c r="A35" s="21"/>
      <c r="B35" s="191" t="s">
        <v>67</v>
      </c>
      <c r="C35" s="133" t="s">
        <v>73</v>
      </c>
      <c r="D35" s="212"/>
      <c r="E35" s="212"/>
      <c r="F35" s="212"/>
      <c r="G35" s="212"/>
      <c r="H35" s="212"/>
      <c r="I35" s="199"/>
      <c r="J35" s="207"/>
      <c r="K35" s="208"/>
      <c r="L35" s="208"/>
      <c r="M35" s="223"/>
      <c r="N35" s="148"/>
    </row>
    <row r="36" ht="25" customHeight="1" spans="1:255">
      <c r="B36" s="72"/>
      <c r="C36" s="196" t="s">
        <v>74</v>
      </c>
      <c r="D36" s="197">
        <f>D33+D34</f>
        <v>552.7832</v>
      </c>
      <c r="E36" s="197">
        <f>E33+E34</f>
        <v>451.8533</v>
      </c>
      <c r="F36" s="197">
        <f>F33+F34</f>
        <v>0</v>
      </c>
      <c r="G36" s="197">
        <f>G33+G34</f>
        <v>242.88127199</v>
      </c>
      <c r="H36" s="197">
        <f>H33+H34</f>
        <v>1247.51777199</v>
      </c>
      <c r="I36" s="199"/>
      <c r="J36" s="207"/>
      <c r="K36" s="208"/>
      <c r="L36" s="208"/>
      <c r="M36" s="213"/>
      <c r="N36" s="148" t="s">
        <v>75</v>
      </c>
    </row>
    <row r="37" s="6" customFormat="1" ht="20.1" customHeight="1" spans="1:255">
      <c r="A37" s="4"/>
      <c r="B37" s="10"/>
      <c r="C37" s="11"/>
      <c r="D37" s="4"/>
      <c r="E37" s="4"/>
      <c r="F37" s="4"/>
      <c r="G37" s="12"/>
      <c r="H37" s="14"/>
      <c r="I37" s="4"/>
      <c r="J37" s="158"/>
      <c r="K37" s="13"/>
      <c r="L37" s="13"/>
      <c r="M37" s="14"/>
      <c r="N37" s="159"/>
      <c r="Q37" s="7"/>
      <c r="R37" s="7"/>
    </row>
    <row r="38" ht="20.1" customHeight="1" spans="1:255">
      <c r="I38" s="12"/>
      <c r="K38" s="4"/>
      <c r="L38" s="4"/>
    </row>
    <row r="39" ht="20.1" customHeight="1" spans="1:255">
      <c r="F39" s="8"/>
      <c r="G39" s="226"/>
      <c r="H39" s="227"/>
      <c r="I39" s="226"/>
      <c r="J39" s="228"/>
      <c r="K39" s="4"/>
      <c r="L39" s="4"/>
    </row>
    <row r="40" ht="20.1" customHeight="1" spans="1:255">
      <c r="F40" s="8"/>
      <c r="G40" s="226"/>
      <c r="H40" s="227"/>
      <c r="I40" s="226"/>
      <c r="J40" s="228"/>
      <c r="K40" s="4"/>
      <c r="L40" s="4"/>
    </row>
    <row r="41" ht="20.1" customHeight="1" spans="1:255">
      <c r="F41" s="8"/>
      <c r="G41" s="226"/>
      <c r="H41" s="227"/>
      <c r="I41" s="226"/>
      <c r="J41" s="228"/>
      <c r="K41" s="4"/>
      <c r="L41" s="4"/>
    </row>
    <row r="42" ht="20.1" customHeight="1" spans="1:255">
      <c r="F42" s="8"/>
      <c r="G42" s="226"/>
      <c r="H42" s="227"/>
      <c r="I42" s="226"/>
      <c r="J42" s="228"/>
      <c r="K42" s="4"/>
      <c r="L42" s="4"/>
    </row>
    <row r="43" ht="20.1" customHeight="1" spans="1:255">
      <c r="F43" s="8"/>
      <c r="G43" s="226"/>
      <c r="H43" s="227"/>
      <c r="I43" s="226"/>
      <c r="J43" s="228"/>
      <c r="K43" s="4"/>
      <c r="L43" s="4"/>
    </row>
    <row r="44" ht="20.1" customHeight="1" spans="1:255">
      <c r="F44" s="224"/>
      <c r="G44" s="226"/>
      <c r="H44" s="227"/>
      <c r="I44" s="226"/>
      <c r="J44" s="228"/>
      <c r="K44" s="4"/>
      <c r="L44" s="4"/>
    </row>
    <row r="45" ht="20.1" customHeight="1" spans="1:255">
      <c r="F45" s="224"/>
      <c r="G45" s="226"/>
      <c r="H45" s="227"/>
      <c r="I45" s="226"/>
      <c r="J45" s="228"/>
      <c r="K45" s="4"/>
      <c r="L45" s="4"/>
    </row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5" ht="25.5" spans="18:19">
      <c r="R55" s="229"/>
      <c r="S55" s="230">
        <v>1612.7227</v>
      </c>
    </row>
    <row r="56" ht="25.5" spans="18:19">
      <c r="R56" s="231"/>
      <c r="S56" s="230">
        <v>412.729</v>
      </c>
    </row>
    <row r="57" ht="25.5" spans="18:19">
      <c r="R57" s="231"/>
      <c r="S57" s="230">
        <v>584.16</v>
      </c>
    </row>
    <row r="58" ht="25.5" spans="18:19">
      <c r="R58" s="231"/>
      <c r="S58" s="230">
        <v>45.9</v>
      </c>
    </row>
    <row r="59" ht="25.5" spans="18:19">
      <c r="R59" s="231"/>
      <c r="S59" s="230">
        <v>135.65</v>
      </c>
    </row>
    <row r="60" ht="25.5" spans="18:19">
      <c r="R60" s="231"/>
      <c r="S60" s="230">
        <v>77.2</v>
      </c>
    </row>
    <row r="61" ht="25.5" spans="18:19">
      <c r="R61" s="231"/>
      <c r="S61" s="230">
        <v>67.8045</v>
      </c>
    </row>
    <row r="62" ht="25.5" spans="18:19">
      <c r="R62" s="231"/>
      <c r="S62" s="230">
        <v>65.552</v>
      </c>
    </row>
    <row r="63" ht="25.5" spans="18:19">
      <c r="R63" s="231"/>
      <c r="S63" s="230">
        <v>28</v>
      </c>
    </row>
    <row r="64" ht="25.5" spans="18:19">
      <c r="R64" s="231"/>
      <c r="S64" s="230">
        <v>86.3805</v>
      </c>
    </row>
    <row r="65" ht="25.5" spans="18:19">
      <c r="R65" s="231"/>
      <c r="S65" s="230">
        <v>49.165</v>
      </c>
    </row>
    <row r="66" ht="25.5" spans="18:19">
      <c r="R66" s="231"/>
      <c r="S66" s="230">
        <f>SUM(S55:S65)</f>
        <v>3165.2637</v>
      </c>
    </row>
  </sheetData>
  <mergeCells count="10">
    <mergeCell ref="A1:N1"/>
    <mergeCell ref="D3:H3"/>
    <mergeCell ref="I3:J3"/>
    <mergeCell ref="A3:A4"/>
    <mergeCell ref="B3:B4"/>
    <mergeCell ref="C3:C4"/>
    <mergeCell ref="K3:K5"/>
    <mergeCell ref="L3:L4"/>
    <mergeCell ref="M3:M4"/>
    <mergeCell ref="N3:N4"/>
  </mergeCells>
  <conditionalFormatting sqref="C30">
    <cfRule type="expression" dxfId="0" priority="15" stopIfTrue="1">
      <formula>CELL("address")=ADDRESS(ROW(),COLUMN())</formula>
    </cfRule>
    <cfRule type="cellIs" dxfId="1" priority="16" stopIfTrue="1" operator="equal">
      <formula>0</formula>
    </cfRule>
  </conditionalFormatting>
  <conditionalFormatting sqref="C13:C23">
    <cfRule type="expression" dxfId="0" priority="21" stopIfTrue="1">
      <formula>CELL("address")=ADDRESS(ROW(),COLUMN())</formula>
    </cfRule>
    <cfRule type="cellIs" dxfId="1" priority="22" stopIfTrue="1" operator="equal">
      <formula>0</formula>
    </cfRule>
  </conditionalFormatting>
  <conditionalFormatting sqref="C25:C26">
    <cfRule type="expression" dxfId="0" priority="5" stopIfTrue="1">
      <formula>CELL("address")=ADDRESS(ROW(),COLUMN())</formula>
    </cfRule>
    <cfRule type="cellIs" dxfId="1" priority="6" stopIfTrue="1" operator="equal">
      <formula>0</formula>
    </cfRule>
  </conditionalFormatting>
  <conditionalFormatting sqref="C34:C35">
    <cfRule type="expression" dxfId="0" priority="17" stopIfTrue="1">
      <formula>CELL("address")=ADDRESS(ROW(),COLUMN())</formula>
    </cfRule>
    <cfRule type="cellIs" dxfId="1" priority="18" stopIfTrue="1" operator="equal">
      <formula>0</formula>
    </cfRule>
  </conditionalFormatting>
  <conditionalFormatting sqref="C24 C27:C29">
    <cfRule type="expression" dxfId="0" priority="19" stopIfTrue="1">
      <formula>CELL("address")=ADDRESS(ROW(),COLUMN())</formula>
    </cfRule>
    <cfRule type="cellIs" dxfId="1" priority="20" stopIfTrue="1" operator="equal">
      <formula>0</formula>
    </cfRule>
  </conditionalFormatting>
  <dataValidations count="2">
    <dataValidation type="list" allowBlank="1" showInputMessage="1" showErrorMessage="1" sqref="C13">
      <formula1>"建设单位管理费,项目代建管理费(全阶段),项目代建管理费(前期),项目代建管理费(实施阶段)"</formula1>
    </dataValidation>
    <dataValidation type="list" allowBlank="1" showInputMessage="1" showErrorMessage="1" sqref="C34">
      <formula1>"建设期贷款利息,建设期融资费用"</formula1>
    </dataValidation>
  </dataValidations>
  <pageMargins left="0.236111111111111" right="0.275" top="0.629861111111111" bottom="0.86875" header="0.393055555555556" footer="0.388888888888889"/>
  <pageSetup paperSize="9" scale="70" orientation="portrait" useFirstPageNumber="1" errors="NA" horizontalDpi="600" verticalDpi="180"/>
  <headerFooter scaleWithDoc="0">
    <oddHeader>&amp;R&amp;"Times New Roman"
第&amp;P&amp;"宋体"页共&amp;"Times New Roman"&amp;N&amp;"宋体"页</oddHeader>
    <oddFooter>&amp;L                                         
&amp;C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view="pageBreakPreview" zoomScaleNormal="100" workbookViewId="0">
      <pane ySplit="1" topLeftCell="A14" activePane="bottomLeft" state="frozen"/>
      <selection/>
      <selection pane="bottomLeft" activeCell="C17" sqref="C17"/>
    </sheetView>
  </sheetViews>
  <sheetFormatPr defaultColWidth="9" defaultRowHeight="35" customHeight="1" outlineLevelCol="4"/>
  <cols>
    <col min="1" max="1" width="6.75" style="141" customWidth="1"/>
    <col min="2" max="2" width="38.5" style="141" customWidth="1"/>
    <col min="3" max="3" width="88.6" style="141" customWidth="1"/>
    <col min="4" max="4" width="14.5" style="142" customWidth="1"/>
    <col min="5" max="5" width="23.5" style="141" customWidth="1"/>
    <col min="6" max="16384" width="9" style="141"/>
  </cols>
  <sheetData>
    <row r="1" s="141" customFormat="1" customHeight="1" spans="1:5">
      <c r="A1" s="143" t="s">
        <v>3</v>
      </c>
      <c r="B1" s="143" t="s">
        <v>76</v>
      </c>
      <c r="C1" s="144" t="s">
        <v>77</v>
      </c>
      <c r="D1" s="145" t="s">
        <v>78</v>
      </c>
      <c r="E1" s="143" t="s">
        <v>10</v>
      </c>
    </row>
    <row r="2" s="141" customFormat="1" customHeight="1" spans="1:5">
      <c r="A2" s="143">
        <v>1</v>
      </c>
      <c r="B2" s="133" t="s">
        <v>33</v>
      </c>
      <c r="C2" s="146" t="s">
        <v>79</v>
      </c>
      <c r="D2" s="145">
        <f>概算!H13</f>
        <v>15.06</v>
      </c>
      <c r="E2" s="147"/>
    </row>
    <row r="3" s="141" customFormat="1" customHeight="1" spans="1:5">
      <c r="A3" s="143">
        <v>2</v>
      </c>
      <c r="B3" s="133" t="s">
        <v>35</v>
      </c>
      <c r="C3" s="146" t="s">
        <v>80</v>
      </c>
      <c r="D3" s="145">
        <f>概算!H14</f>
        <v>25.602</v>
      </c>
      <c r="E3" s="147"/>
    </row>
    <row r="4" s="141" customFormat="1" customHeight="1" spans="1:5">
      <c r="A4" s="143">
        <v>3</v>
      </c>
      <c r="B4" s="133" t="s">
        <v>37</v>
      </c>
      <c r="C4" s="146" t="s">
        <v>81</v>
      </c>
      <c r="D4" s="145">
        <f>概算!H15</f>
        <v>3.36</v>
      </c>
      <c r="E4" s="147"/>
    </row>
    <row r="5" s="141" customFormat="1" customHeight="1" spans="1:5">
      <c r="A5" s="143">
        <v>4</v>
      </c>
      <c r="B5" s="133" t="s">
        <v>39</v>
      </c>
      <c r="C5" s="146" t="s">
        <v>82</v>
      </c>
      <c r="D5" s="145">
        <f>概算!H16</f>
        <v>9.04</v>
      </c>
      <c r="E5" s="147"/>
    </row>
    <row r="6" s="141" customFormat="1" customHeight="1" spans="1:5">
      <c r="A6" s="143">
        <v>5</v>
      </c>
      <c r="B6" s="133" t="s">
        <v>41</v>
      </c>
      <c r="C6" s="146" t="s">
        <v>83</v>
      </c>
      <c r="D6" s="145">
        <f>概算!H17</f>
        <v>35.16</v>
      </c>
      <c r="E6" s="147"/>
    </row>
    <row r="7" s="141" customFormat="1" customHeight="1" spans="1:5">
      <c r="A7" s="143">
        <v>6</v>
      </c>
      <c r="B7" s="133" t="s">
        <v>43</v>
      </c>
      <c r="C7" s="146" t="s">
        <v>84</v>
      </c>
      <c r="D7" s="145">
        <f>概算!H18</f>
        <v>38.95</v>
      </c>
      <c r="E7" s="147"/>
    </row>
    <row r="8" s="141" customFormat="1" customHeight="1" spans="1:5">
      <c r="A8" s="143">
        <v>7</v>
      </c>
      <c r="B8" s="133" t="s">
        <v>45</v>
      </c>
      <c r="C8" s="148" t="s">
        <v>46</v>
      </c>
      <c r="D8" s="145">
        <f>概算!H19</f>
        <v>2.44</v>
      </c>
      <c r="E8" s="147"/>
    </row>
    <row r="9" s="141" customFormat="1" customHeight="1" spans="1:5">
      <c r="A9" s="143">
        <v>8</v>
      </c>
      <c r="B9" s="133" t="s">
        <v>47</v>
      </c>
      <c r="C9" s="148" t="s">
        <v>48</v>
      </c>
      <c r="D9" s="145">
        <f>概算!H20</f>
        <v>1.2971</v>
      </c>
      <c r="E9" s="147"/>
    </row>
    <row r="10" s="141" customFormat="1" customHeight="1" spans="1:5">
      <c r="A10" s="143">
        <v>9</v>
      </c>
      <c r="B10" s="133" t="s">
        <v>49</v>
      </c>
      <c r="C10" s="146" t="s">
        <v>50</v>
      </c>
      <c r="D10" s="145">
        <f>概算!H21</f>
        <v>3.01</v>
      </c>
      <c r="E10" s="147"/>
    </row>
    <row r="11" s="141" customFormat="1" customHeight="1" spans="1:5">
      <c r="A11" s="143">
        <v>10</v>
      </c>
      <c r="B11" s="133" t="s">
        <v>51</v>
      </c>
      <c r="C11" s="146" t="s">
        <v>52</v>
      </c>
      <c r="D11" s="145">
        <f>概算!H22</f>
        <v>10.05</v>
      </c>
      <c r="E11" s="147"/>
    </row>
    <row r="12" s="141" customFormat="1" customHeight="1" spans="1:5">
      <c r="A12" s="143">
        <v>11</v>
      </c>
      <c r="B12" s="133" t="s">
        <v>53</v>
      </c>
      <c r="C12" s="146" t="s">
        <v>85</v>
      </c>
      <c r="D12" s="145">
        <f>概算!H23</f>
        <v>5.02</v>
      </c>
      <c r="E12" s="147"/>
    </row>
    <row r="13" s="141" customFormat="1" customHeight="1" spans="1:5">
      <c r="A13" s="143">
        <v>12</v>
      </c>
      <c r="B13" s="133" t="s">
        <v>54</v>
      </c>
      <c r="C13" s="146" t="s">
        <v>55</v>
      </c>
      <c r="D13" s="145">
        <f>概算!H24</f>
        <v>11.53</v>
      </c>
      <c r="E13" s="147"/>
    </row>
    <row r="14" s="141" customFormat="1" customHeight="1" spans="1:5">
      <c r="A14" s="143">
        <v>13</v>
      </c>
      <c r="B14" s="133" t="s">
        <v>56</v>
      </c>
      <c r="C14" s="146" t="s">
        <v>86</v>
      </c>
      <c r="D14" s="145">
        <f>概算!H25</f>
        <v>3.895</v>
      </c>
      <c r="E14" s="147"/>
    </row>
    <row r="15" s="141" customFormat="1" customHeight="1" spans="1:5">
      <c r="A15" s="143">
        <v>14</v>
      </c>
      <c r="B15" s="133" t="s">
        <v>58</v>
      </c>
      <c r="C15" s="146" t="s">
        <v>87</v>
      </c>
      <c r="D15" s="145">
        <f>概算!H26</f>
        <v>3.116</v>
      </c>
      <c r="E15" s="147"/>
    </row>
    <row r="16" s="141" customFormat="1" customHeight="1" spans="1:5">
      <c r="A16" s="143">
        <v>15</v>
      </c>
      <c r="B16" s="133" t="s">
        <v>59</v>
      </c>
      <c r="C16" s="146" t="s">
        <v>57</v>
      </c>
      <c r="D16" s="145">
        <f>概算!H27</f>
        <v>0.74</v>
      </c>
      <c r="E16" s="147"/>
    </row>
    <row r="17" s="141" customFormat="1" customHeight="1" spans="1:5">
      <c r="A17" s="143">
        <v>16</v>
      </c>
      <c r="B17" s="133" t="s">
        <v>60</v>
      </c>
      <c r="C17" s="146" t="s">
        <v>61</v>
      </c>
      <c r="D17" s="145">
        <f>概算!H28</f>
        <v>4</v>
      </c>
      <c r="E17" s="147"/>
    </row>
    <row r="18" s="141" customFormat="1" customHeight="1" spans="1:5">
      <c r="A18" s="143">
        <v>17</v>
      </c>
      <c r="B18" s="133" t="s">
        <v>62</v>
      </c>
      <c r="C18" s="146" t="s">
        <v>63</v>
      </c>
      <c r="D18" s="145">
        <f>概算!H29</f>
        <v>1.2055638</v>
      </c>
      <c r="E18" s="147"/>
    </row>
    <row r="19" s="141" customFormat="1" customHeight="1" spans="1:5">
      <c r="A19" s="143">
        <v>18</v>
      </c>
      <c r="B19" s="133" t="s">
        <v>64</v>
      </c>
      <c r="C19" s="146" t="s">
        <v>61</v>
      </c>
      <c r="D19" s="145">
        <f>概算!H30</f>
        <v>10</v>
      </c>
      <c r="E19" s="147"/>
    </row>
    <row r="20" s="141" customFormat="1" customHeight="1" spans="1:5">
      <c r="A20" s="143"/>
      <c r="B20" s="143" t="s">
        <v>88</v>
      </c>
      <c r="C20" s="149"/>
      <c r="D20" s="145">
        <f>SUM(D2:D19)</f>
        <v>183.4756638</v>
      </c>
      <c r="E20" s="147"/>
    </row>
    <row r="21" s="141" customFormat="1" customHeight="1" spans="1:5">
      <c r="A21" s="150"/>
      <c r="B21" s="151"/>
      <c r="C21" s="151"/>
      <c r="D21" s="152"/>
      <c r="E21" s="151"/>
    </row>
  </sheetData>
  <conditionalFormatting sqref="E3">
    <cfRule type="expression" dxfId="0" priority="40" stopIfTrue="1">
      <formula>CELL("address")=ADDRESS(ROW(),COLUMN())</formula>
    </cfRule>
  </conditionalFormatting>
  <conditionalFormatting sqref="B19">
    <cfRule type="expression" dxfId="0" priority="7" stopIfTrue="1">
      <formula>CELL("address")=ADDRESS(ROW(),COLUMN())</formula>
    </cfRule>
    <cfRule type="cellIs" dxfId="1" priority="8" stopIfTrue="1" operator="equal">
      <formula>0</formula>
    </cfRule>
  </conditionalFormatting>
  <conditionalFormatting sqref="A21">
    <cfRule type="expression" dxfId="0" priority="41" stopIfTrue="1">
      <formula>CELL("address")=ADDRESS(ROW(),COLUMN())</formula>
    </cfRule>
    <cfRule type="cellIs" dxfId="1" priority="42" stopIfTrue="1" operator="equal">
      <formula>0</formula>
    </cfRule>
  </conditionalFormatting>
  <conditionalFormatting sqref="B2:B12">
    <cfRule type="expression" dxfId="0" priority="11" stopIfTrue="1">
      <formula>CELL("address")=ADDRESS(ROW(),COLUMN())</formula>
    </cfRule>
    <cfRule type="cellIs" dxfId="1" priority="12" stopIfTrue="1" operator="equal">
      <formula>0</formula>
    </cfRule>
  </conditionalFormatting>
  <conditionalFormatting sqref="B14:B15">
    <cfRule type="expression" dxfId="0" priority="3" stopIfTrue="1">
      <formula>CELL("address")=ADDRESS(ROW(),COLUMN())</formula>
    </cfRule>
    <cfRule type="cellIs" dxfId="1" priority="4" stopIfTrue="1" operator="equal">
      <formula>0</formula>
    </cfRule>
  </conditionalFormatting>
  <conditionalFormatting sqref="D2:D19">
    <cfRule type="expression" dxfId="0" priority="35" stopIfTrue="1">
      <formula>CELL("address")=ADDRESS(ROW(),COLUMN())</formula>
    </cfRule>
  </conditionalFormatting>
  <conditionalFormatting sqref="A1:E1 E4:E19 A20:E21">
    <cfRule type="expression" dxfId="0" priority="43" stopIfTrue="1">
      <formula>CELL("address")=ADDRESS(ROW(),COLUMN())</formula>
    </cfRule>
  </conditionalFormatting>
  <conditionalFormatting sqref="A2 E2 A3:A19">
    <cfRule type="expression" dxfId="0" priority="36" stopIfTrue="1">
      <formula>CELL("address")=ADDRESS(ROW(),COLUMN())</formula>
    </cfRule>
  </conditionalFormatting>
  <conditionalFormatting sqref="B13 B16:B18">
    <cfRule type="expression" dxfId="0" priority="9" stopIfTrue="1">
      <formula>CELL("address")=ADDRESS(ROW(),COLUMN())</formula>
    </cfRule>
    <cfRule type="cellIs" dxfId="1" priority="10" stopIfTrue="1" operator="equal">
      <formula>0</formula>
    </cfRule>
  </conditionalFormatting>
  <dataValidations count="1">
    <dataValidation type="list" allowBlank="1" showInputMessage="1" showErrorMessage="1" sqref="B2">
      <formula1>"建设单位管理费,项目代建管理费(全阶段),项目代建管理费(前期),项目代建管理费(实施阶段)"</formula1>
    </dataValidation>
  </dataValidations>
  <pageMargins left="0.75" right="0.75" top="1" bottom="1" header="0.5" footer="0.5"/>
  <pageSetup paperSize="8" orientation="landscape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84"/>
  <sheetViews>
    <sheetView view="pageBreakPreview" zoomScale="115" zoomScaleNormal="115" topLeftCell="B1" workbookViewId="0">
      <selection activeCell="L10" sqref="L10"/>
    </sheetView>
  </sheetViews>
  <sheetFormatPr defaultColWidth="9" defaultRowHeight="13.5"/>
  <cols>
    <col min="1" max="1" width="5.125" style="93" customWidth="1"/>
    <col min="2" max="2" width="21.3916666666667" style="92" customWidth="1"/>
    <col min="3" max="5" width="13.625" style="92" customWidth="1"/>
    <col min="6" max="6" width="3.29166666666667" style="92" customWidth="1"/>
    <col min="7" max="7" width="4.51666666666667" style="92" hidden="1" customWidth="1"/>
    <col min="8" max="8" width="13.625" style="92" hidden="1" customWidth="1"/>
    <col min="9" max="9" width="9" style="92" hidden="1" customWidth="1"/>
    <col min="10" max="14" width="9" style="92"/>
    <col min="15" max="15" width="7.65" style="92" customWidth="1"/>
    <col min="16" max="16384" width="9" style="92"/>
  </cols>
  <sheetData>
    <row r="1" spans="1:15">
      <c r="B1" s="94"/>
    </row>
    <row r="2" ht="35" customHeight="1" spans="1:15">
      <c r="A2" s="95" t="s">
        <v>89</v>
      </c>
      <c r="B2" s="95"/>
      <c r="C2" s="95"/>
      <c r="D2" s="95"/>
      <c r="E2" s="96" t="s">
        <v>90</v>
      </c>
      <c r="F2" s="97"/>
      <c r="G2" s="97"/>
      <c r="H2" s="97"/>
      <c r="J2" s="98" t="s">
        <v>91</v>
      </c>
      <c r="K2" s="98"/>
      <c r="L2" s="99"/>
      <c r="M2" s="99"/>
      <c r="N2" s="99"/>
      <c r="O2" s="100" t="s">
        <v>92</v>
      </c>
    </row>
    <row r="3" s="91" customFormat="1" ht="21.95" customHeight="1" spans="1:15">
      <c r="A3" s="101" t="s">
        <v>3</v>
      </c>
      <c r="B3" s="102" t="s">
        <v>93</v>
      </c>
      <c r="C3" s="103" t="s">
        <v>94</v>
      </c>
      <c r="D3" s="104" t="s">
        <v>95</v>
      </c>
      <c r="E3" s="105" t="s">
        <v>96</v>
      </c>
      <c r="F3" s="106"/>
      <c r="G3" s="106"/>
      <c r="H3" s="106"/>
      <c r="J3" s="107" t="s">
        <v>97</v>
      </c>
      <c r="K3" s="108"/>
      <c r="L3" s="109" t="s">
        <v>98</v>
      </c>
      <c r="M3" s="109" t="s">
        <v>99</v>
      </c>
      <c r="N3" s="109" t="s">
        <v>100</v>
      </c>
      <c r="O3" s="110" t="s">
        <v>101</v>
      </c>
    </row>
    <row r="4" s="91" customFormat="1" ht="21.95" customHeight="1" spans="1:15">
      <c r="A4" s="111"/>
      <c r="B4" s="112" t="s">
        <v>102</v>
      </c>
      <c r="C4" s="103"/>
      <c r="D4" s="113"/>
      <c r="E4" s="105"/>
      <c r="F4" s="106"/>
      <c r="G4" s="106"/>
      <c r="H4" s="106"/>
      <c r="J4" s="114"/>
      <c r="K4" s="115"/>
      <c r="L4" s="109"/>
      <c r="M4" s="109"/>
      <c r="N4" s="109"/>
      <c r="O4" s="110"/>
    </row>
    <row r="5" s="91" customFormat="1" ht="13" customHeight="1" outlineLevel="1" spans="1:15">
      <c r="A5" s="111">
        <v>1</v>
      </c>
      <c r="B5" s="116" t="s">
        <v>11</v>
      </c>
      <c r="C5" s="117">
        <f>概算!D6</f>
        <v>552.7832</v>
      </c>
      <c r="D5" s="117">
        <f t="shared" ref="D5:D12" si="0">C5</f>
        <v>552.7832</v>
      </c>
      <c r="E5" s="118">
        <f>C5/C12*100</f>
        <v>44.3106473039032</v>
      </c>
      <c r="F5" s="119"/>
      <c r="G5" s="119"/>
      <c r="H5" s="119"/>
      <c r="J5" s="120" t="s">
        <v>15</v>
      </c>
      <c r="K5" s="121"/>
      <c r="L5" s="122">
        <v>1159</v>
      </c>
      <c r="M5" s="122">
        <v>166</v>
      </c>
      <c r="N5" s="122">
        <v>99</v>
      </c>
      <c r="O5" s="123">
        <v>1.348</v>
      </c>
    </row>
    <row r="6" s="91" customFormat="1" ht="13" customHeight="1" outlineLevel="1" spans="1:15">
      <c r="A6" s="111">
        <v>2</v>
      </c>
      <c r="B6" s="124" t="s">
        <v>12</v>
      </c>
      <c r="C6" s="117">
        <f>概算!E6</f>
        <v>451.8533</v>
      </c>
      <c r="D6" s="117">
        <f t="shared" si="0"/>
        <v>451.8533</v>
      </c>
      <c r="E6" s="118">
        <f>C6/C12*100</f>
        <v>36.2201894149546</v>
      </c>
      <c r="F6" s="119"/>
      <c r="G6" s="119"/>
      <c r="H6" s="119"/>
    </row>
    <row r="7" s="91" customFormat="1" ht="13" customHeight="1" outlineLevel="1" spans="1:15">
      <c r="A7" s="111">
        <v>3</v>
      </c>
      <c r="B7" s="124" t="s">
        <v>13</v>
      </c>
      <c r="C7" s="117">
        <f>概算!F6</f>
        <v>0</v>
      </c>
      <c r="D7" s="117">
        <f t="shared" si="0"/>
        <v>0</v>
      </c>
      <c r="E7" s="118">
        <f>C7/C12*100</f>
        <v>0</v>
      </c>
      <c r="F7" s="119"/>
      <c r="G7" s="119"/>
      <c r="H7" s="119"/>
    </row>
    <row r="8" s="91" customFormat="1" ht="13" customHeight="1" outlineLevel="1" spans="1:15">
      <c r="A8" s="111">
        <v>4</v>
      </c>
      <c r="B8" s="124" t="s">
        <v>14</v>
      </c>
      <c r="C8" s="117">
        <f>概算!G12</f>
        <v>183.4756638</v>
      </c>
      <c r="D8" s="117">
        <f t="shared" si="0"/>
        <v>183.4756638</v>
      </c>
      <c r="E8" s="118">
        <f>C8/C12*100</f>
        <v>14.7072585192374</v>
      </c>
      <c r="F8" s="119"/>
      <c r="G8" s="119"/>
      <c r="H8" s="119"/>
    </row>
    <row r="9" s="91" customFormat="1" ht="13" customHeight="1" outlineLevel="1" spans="1:15">
      <c r="A9" s="111">
        <v>5</v>
      </c>
      <c r="B9" s="124" t="s">
        <v>68</v>
      </c>
      <c r="C9" s="117">
        <f>概算!H31</f>
        <v>59.40560819</v>
      </c>
      <c r="D9" s="117">
        <f t="shared" si="0"/>
        <v>59.40560819</v>
      </c>
      <c r="E9" s="118">
        <f>C9/C12*100</f>
        <v>4.76190476190476</v>
      </c>
      <c r="F9" s="119"/>
      <c r="G9" s="119"/>
      <c r="H9" s="119"/>
    </row>
    <row r="10" s="91" customFormat="1" ht="13" customHeight="1" outlineLevel="1" spans="1:15">
      <c r="A10" s="111">
        <v>6</v>
      </c>
      <c r="B10" s="124" t="s">
        <v>73</v>
      </c>
      <c r="C10" s="117">
        <f>概算!H34</f>
        <v>0</v>
      </c>
      <c r="D10" s="117">
        <f t="shared" si="0"/>
        <v>0</v>
      </c>
      <c r="E10" s="118">
        <f>C10/C12*100</f>
        <v>0</v>
      </c>
      <c r="F10" s="119"/>
      <c r="G10" s="119"/>
      <c r="H10" s="119"/>
    </row>
    <row r="11" s="91" customFormat="1" ht="13" customHeight="1" spans="1:15">
      <c r="A11" s="125"/>
      <c r="B11" s="124" t="s">
        <v>103</v>
      </c>
      <c r="C11" s="117">
        <f>SUM(C5:C10)</f>
        <v>1247.51777199</v>
      </c>
      <c r="D11" s="117">
        <f t="shared" si="0"/>
        <v>1247.51777199</v>
      </c>
      <c r="E11" s="118">
        <f>C11/C12*100</f>
        <v>100</v>
      </c>
      <c r="F11" s="119"/>
      <c r="G11" s="119"/>
      <c r="H11" s="119"/>
    </row>
    <row r="12" s="91" customFormat="1" ht="13" customHeight="1" spans="1:15">
      <c r="A12" s="125"/>
      <c r="B12" s="124" t="s">
        <v>104</v>
      </c>
      <c r="C12" s="117">
        <f>概算!H36</f>
        <v>1247.51777199</v>
      </c>
      <c r="D12" s="117">
        <f t="shared" si="0"/>
        <v>1247.51777199</v>
      </c>
      <c r="E12" s="118">
        <f>E5+E7+E6+E8+E9+E10</f>
        <v>100</v>
      </c>
      <c r="F12" s="119"/>
      <c r="G12" s="119"/>
      <c r="H12" s="119"/>
    </row>
    <row r="13" s="91" customFormat="1" ht="13" customHeight="1" spans="1:15">
      <c r="A13" s="125"/>
      <c r="B13" s="124" t="s">
        <v>105</v>
      </c>
      <c r="C13" s="118"/>
      <c r="D13" s="126"/>
      <c r="E13" s="126"/>
      <c r="F13" s="127"/>
      <c r="G13" s="127"/>
      <c r="H13" s="127"/>
    </row>
    <row r="14" ht="53" customHeight="1" spans="1:15">
      <c r="J14" s="128"/>
      <c r="K14" s="128"/>
      <c r="L14" s="128"/>
      <c r="M14" s="128"/>
      <c r="N14" s="128"/>
      <c r="O14" s="128"/>
    </row>
    <row r="15" ht="37" customHeight="1" spans="1:15">
      <c r="A15" s="95" t="s">
        <v>106</v>
      </c>
      <c r="B15" s="95"/>
      <c r="C15" s="95"/>
      <c r="D15" s="95"/>
      <c r="E15" s="95" t="s">
        <v>107</v>
      </c>
      <c r="F15" s="97"/>
      <c r="G15" s="97"/>
      <c r="H15" s="97"/>
      <c r="J15" s="98"/>
      <c r="K15" s="98"/>
      <c r="L15" s="98"/>
      <c r="M15" s="98"/>
      <c r="N15" s="98"/>
      <c r="O15" s="129"/>
    </row>
    <row r="16" s="92" customFormat="1" ht="21.95" customHeight="1" spans="1:15">
      <c r="A16" s="101" t="s">
        <v>108</v>
      </c>
      <c r="B16" s="102" t="s">
        <v>93</v>
      </c>
      <c r="C16" s="104" t="s">
        <v>94</v>
      </c>
      <c r="D16" s="101" t="s">
        <v>95</v>
      </c>
      <c r="E16" s="104" t="s">
        <v>105</v>
      </c>
      <c r="F16" s="106"/>
      <c r="G16" s="106"/>
      <c r="H16" s="106"/>
      <c r="J16" s="130"/>
      <c r="K16" s="131"/>
      <c r="L16" s="132"/>
      <c r="M16" s="132"/>
      <c r="N16" s="132"/>
      <c r="O16" s="132"/>
    </row>
    <row r="17" s="92" customFormat="1" ht="21.95" customHeight="1" spans="1:15">
      <c r="A17" s="111" t="s">
        <v>109</v>
      </c>
      <c r="B17" s="112" t="s">
        <v>102</v>
      </c>
      <c r="C17" s="113"/>
      <c r="D17" s="111"/>
      <c r="E17" s="113"/>
      <c r="F17" s="106"/>
      <c r="G17" s="106"/>
      <c r="H17" s="106"/>
      <c r="J17" s="130"/>
      <c r="K17" s="130"/>
      <c r="L17" s="132"/>
      <c r="M17" s="132"/>
      <c r="N17" s="132"/>
      <c r="O17" s="132"/>
    </row>
    <row r="18" ht="15" customHeight="1" outlineLevel="1" spans="1:15">
      <c r="A18" s="125">
        <v>1</v>
      </c>
      <c r="B18" s="133" t="s">
        <v>22</v>
      </c>
      <c r="C18" s="134">
        <f>概算!H7</f>
        <v>322.372</v>
      </c>
      <c r="D18" s="135">
        <f t="shared" ref="D18:D25" si="1">C18</f>
        <v>322.372</v>
      </c>
      <c r="E18" s="136">
        <f t="shared" ref="E18:E25" si="2">C18/$C$26*100</f>
        <v>25.8410747516456</v>
      </c>
      <c r="F18" s="137"/>
      <c r="G18" s="137"/>
      <c r="H18" s="137"/>
      <c r="J18" s="138"/>
      <c r="K18" s="138"/>
      <c r="L18" s="139"/>
      <c r="M18" s="139"/>
      <c r="N18" s="139"/>
      <c r="O18" s="139"/>
    </row>
    <row r="19" ht="15" customHeight="1" outlineLevel="1" spans="1:15">
      <c r="A19" s="125">
        <v>2</v>
      </c>
      <c r="B19" s="133" t="s">
        <v>26</v>
      </c>
      <c r="C19" s="134">
        <f>概算!H9</f>
        <v>15.1254</v>
      </c>
      <c r="D19" s="135">
        <f t="shared" si="1"/>
        <v>15.1254</v>
      </c>
      <c r="E19" s="136">
        <f t="shared" si="2"/>
        <v>1.21243964131048</v>
      </c>
      <c r="F19" s="137"/>
      <c r="G19" s="137"/>
      <c r="H19" s="137"/>
      <c r="J19" s="138"/>
      <c r="K19" s="138"/>
      <c r="L19" s="139"/>
      <c r="M19" s="139"/>
      <c r="N19" s="139"/>
      <c r="O19" s="139"/>
    </row>
    <row r="20" ht="15" customHeight="1" outlineLevel="1" spans="1:15">
      <c r="A20" s="125">
        <v>3</v>
      </c>
      <c r="B20" s="133" t="s">
        <v>28</v>
      </c>
      <c r="C20" s="134">
        <f>概算!H10</f>
        <v>302.3153</v>
      </c>
      <c r="D20" s="135">
        <f t="shared" si="1"/>
        <v>302.3153</v>
      </c>
      <c r="E20" s="136">
        <f t="shared" si="2"/>
        <v>24.2333461524766</v>
      </c>
      <c r="F20" s="137"/>
      <c r="G20" s="137"/>
      <c r="H20" s="137"/>
      <c r="J20" s="128"/>
      <c r="K20" s="128"/>
      <c r="L20" s="128"/>
      <c r="M20" s="128"/>
      <c r="N20" s="128"/>
      <c r="O20" s="128"/>
    </row>
    <row r="21" ht="15" customHeight="1" outlineLevel="1" spans="1:15">
      <c r="A21" s="125">
        <v>4</v>
      </c>
      <c r="B21" s="133" t="s">
        <v>30</v>
      </c>
      <c r="C21" s="134">
        <f>概算!H11</f>
        <v>149.538</v>
      </c>
      <c r="D21" s="135">
        <f t="shared" si="1"/>
        <v>149.538</v>
      </c>
      <c r="E21" s="136">
        <f t="shared" si="2"/>
        <v>11.9868432624781</v>
      </c>
      <c r="F21" s="137"/>
      <c r="G21" s="137"/>
      <c r="H21" s="137"/>
      <c r="J21" s="128"/>
      <c r="K21" s="128"/>
      <c r="L21" s="128"/>
      <c r="M21" s="128"/>
      <c r="N21" s="128"/>
      <c r="O21" s="128"/>
    </row>
    <row r="22" ht="15" customHeight="1" outlineLevel="1" spans="1:15">
      <c r="A22" s="125">
        <v>5</v>
      </c>
      <c r="B22" s="133" t="s">
        <v>110</v>
      </c>
      <c r="C22" s="134">
        <f>概算!H12</f>
        <v>183.4756638</v>
      </c>
      <c r="D22" s="135">
        <f t="shared" si="1"/>
        <v>183.4756638</v>
      </c>
      <c r="E22" s="136">
        <f t="shared" si="2"/>
        <v>14.7072585192374</v>
      </c>
      <c r="F22" s="137"/>
      <c r="G22" s="137"/>
      <c r="H22" s="137"/>
      <c r="J22" s="128"/>
      <c r="K22" s="128"/>
      <c r="L22" s="128"/>
      <c r="M22" s="128"/>
      <c r="N22" s="128"/>
      <c r="O22" s="128"/>
    </row>
    <row r="23" ht="15" customHeight="1" outlineLevel="1" spans="1:15">
      <c r="A23" s="125">
        <v>6</v>
      </c>
      <c r="B23" s="124" t="s">
        <v>68</v>
      </c>
      <c r="C23" s="134">
        <f>概算!H31</f>
        <v>59.40560819</v>
      </c>
      <c r="D23" s="135">
        <f t="shared" si="1"/>
        <v>59.40560819</v>
      </c>
      <c r="E23" s="136">
        <f t="shared" si="2"/>
        <v>4.76190476190476</v>
      </c>
      <c r="F23" s="137"/>
      <c r="G23" s="137"/>
      <c r="H23" s="137"/>
    </row>
    <row r="24" ht="15" customHeight="1" outlineLevel="1" spans="1:15">
      <c r="A24" s="125">
        <v>7</v>
      </c>
      <c r="B24" s="124" t="s">
        <v>70</v>
      </c>
      <c r="C24" s="134">
        <f>概算!H33</f>
        <v>1247.51777199</v>
      </c>
      <c r="D24" s="135">
        <f t="shared" si="1"/>
        <v>1247.51777199</v>
      </c>
      <c r="E24" s="136">
        <f t="shared" si="2"/>
        <v>100</v>
      </c>
      <c r="F24" s="137"/>
      <c r="G24" s="137"/>
      <c r="H24" s="137"/>
    </row>
    <row r="25" ht="15" customHeight="1" outlineLevel="1" spans="1:15">
      <c r="A25" s="125">
        <v>8</v>
      </c>
      <c r="B25" s="124" t="s">
        <v>73</v>
      </c>
      <c r="C25" s="134">
        <f>概算!H34</f>
        <v>0</v>
      </c>
      <c r="D25" s="135">
        <f t="shared" si="1"/>
        <v>0</v>
      </c>
      <c r="E25" s="136">
        <f t="shared" si="2"/>
        <v>0</v>
      </c>
      <c r="F25" s="137"/>
      <c r="G25" s="137"/>
      <c r="H25" s="137"/>
    </row>
    <row r="26" ht="15" customHeight="1" outlineLevel="1" spans="1:15">
      <c r="A26" s="125"/>
      <c r="B26" s="124" t="s">
        <v>111</v>
      </c>
      <c r="C26" s="135">
        <f>概算!H36</f>
        <v>1247.51777199</v>
      </c>
      <c r="D26" s="135">
        <f>D24+D25</f>
        <v>1247.51777199</v>
      </c>
      <c r="E26" s="136">
        <f>E24+E25</f>
        <v>100</v>
      </c>
      <c r="F26" s="137"/>
      <c r="G26" s="137"/>
      <c r="H26" s="137"/>
    </row>
    <row r="27" ht="15" customHeight="1" spans="1:15">
      <c r="A27" s="125"/>
      <c r="B27" s="124" t="s">
        <v>96</v>
      </c>
      <c r="C27" s="140"/>
      <c r="D27" s="124"/>
      <c r="E27" s="124">
        <f>E26</f>
        <v>100</v>
      </c>
      <c r="F27" s="91"/>
      <c r="G27" s="91"/>
      <c r="H27" s="91"/>
    </row>
    <row r="84" spans="10:10">
      <c r="J84" s="92">
        <f>J49+J78-0.01</f>
        <v>-0.01</v>
      </c>
    </row>
  </sheetData>
  <sheetProtection sort="0" autoFilter="0"/>
  <mergeCells count="24">
    <mergeCell ref="A2:D2"/>
    <mergeCell ref="J2:N2"/>
    <mergeCell ref="J3:K3"/>
    <mergeCell ref="J4:K4"/>
    <mergeCell ref="J5:K5"/>
    <mergeCell ref="A15:D15"/>
    <mergeCell ref="J15:N15"/>
    <mergeCell ref="J18:K18"/>
    <mergeCell ref="J19:K19"/>
    <mergeCell ref="A3:A4"/>
    <mergeCell ref="C3:C4"/>
    <mergeCell ref="C16:C17"/>
    <mergeCell ref="D3:D4"/>
    <mergeCell ref="D16:D17"/>
    <mergeCell ref="E3:E4"/>
    <mergeCell ref="E16:E17"/>
    <mergeCell ref="L3:L4"/>
    <mergeCell ref="L16:L17"/>
    <mergeCell ref="M3:M4"/>
    <mergeCell ref="M16:M17"/>
    <mergeCell ref="N3:N4"/>
    <mergeCell ref="N16:N17"/>
    <mergeCell ref="O3:O4"/>
    <mergeCell ref="O16:O17"/>
  </mergeCells>
  <conditionalFormatting sqref="A2:D2">
    <cfRule type="expression" dxfId="0" priority="37" stopIfTrue="1">
      <formula>CELL("address")=ADDRESS(ROW(),COLUMN())</formula>
    </cfRule>
  </conditionalFormatting>
  <conditionalFormatting sqref="A15:D15">
    <cfRule type="expression" dxfId="0" priority="38" stopIfTrue="1">
      <formula>CELL("address")=ADDRESS(ROW(),COLUMN())</formula>
    </cfRule>
  </conditionalFormatting>
  <conditionalFormatting sqref="B18">
    <cfRule type="expression" dxfId="2" priority="4" stopIfTrue="1">
      <formula>CELL("address")=ADDRESS(ROW(),COLUMN())</formula>
    </cfRule>
    <cfRule type="cellIs" dxfId="3" priority="5" stopIfTrue="1" operator="equal">
      <formula>0</formula>
    </cfRule>
  </conditionalFormatting>
  <conditionalFormatting sqref="B19:B22">
    <cfRule type="expression" dxfId="0" priority="39" stopIfTrue="1">
      <formula>CELL("address")=ADDRESS(ROW(),COLUMN())</formula>
    </cfRule>
    <cfRule type="cellIs" dxfId="1" priority="40" stopIfTrue="1" operator="equal">
      <formula>0</formula>
    </cfRule>
  </conditionalFormatting>
  <conditionalFormatting sqref="A1:IV1 E2:I2 P2:IV2 A3:I5 P3:IV5 A6:IV14 E15:I15 P15:IV15 A16:I17 P16:IV17 A18 C18:D18 I18 P18:IV18 A19 C19:D19 I19 P19:IV19 A20:A21 C20:D21 I20:I21 P20:IV21 A22 C22:D22 I22:IV22 A23:D24 I23:IV24 A25:IV65536">
    <cfRule type="expression" dxfId="0" priority="41" stopIfTrue="1">
      <formula>CELL("address")=ADDRESS(ROW(),COLUMN())</formula>
    </cfRule>
  </conditionalFormatting>
  <conditionalFormatting sqref="J3 L3:O3 J4 L4:O4 J5:O5">
    <cfRule type="expression" dxfId="4" priority="1" stopIfTrue="1">
      <formula>CELL("address")=ADDRESS(ROW(),COLUMN())</formula>
    </cfRule>
  </conditionalFormatting>
  <conditionalFormatting sqref="J16:O19">
    <cfRule type="expression" dxfId="4" priority="3" stopIfTrue="1">
      <formula>CELL("address")=ADDRESS(ROW(),COLUMN())</formula>
    </cfRule>
  </conditionalFormatting>
  <conditionalFormatting sqref="E18:H24">
    <cfRule type="expression" dxfId="0" priority="9" stopIfTrue="1">
      <formula>CELL("address")=ADDRESS(ROW(),COLUMN())</formula>
    </cfRule>
  </conditionalFormatting>
  <conditionalFormatting sqref="J20:O20 J21:O21">
    <cfRule type="expression" dxfId="0" priority="2" stopIfTrue="1">
      <formula>CELL("address")=ADDRESS(ROW(),COLUMN())</formula>
    </cfRule>
  </conditionalFormatting>
  <pageMargins left="1.10208333333333" right="0.75" top="1.18" bottom="0.79" header="0.5" footer="0.56"/>
  <pageSetup paperSize="8" scale="140" orientation="landscape" horizontalDpi="600" verticalDpi="6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73"/>
  <sheetViews>
    <sheetView view="pageBreakPreview" zoomScale="115" zoomScaleNormal="100" workbookViewId="0">
      <pane ySplit="4" topLeftCell="A5" activePane="bottomLeft" state="frozen"/>
      <selection/>
      <selection pane="bottomLeft" activeCell="H73" sqref="H73"/>
    </sheetView>
  </sheetViews>
  <sheetFormatPr defaultColWidth="9" defaultRowHeight="14.25"/>
  <cols>
    <col min="1" max="1" width="4.75" style="4" customWidth="1"/>
    <col min="2" max="2" width="7.68333333333333" style="10" customWidth="1"/>
    <col min="3" max="3" width="40.6416666666667" style="11" customWidth="1"/>
    <col min="4" max="6" width="9.625" style="4" customWidth="1"/>
    <col min="7" max="7" width="9.625" style="12" customWidth="1"/>
    <col min="8" max="9" width="9.625" style="4" customWidth="1"/>
    <col min="10" max="10" width="9.625" style="13" customWidth="1"/>
    <col min="11" max="11" width="9.625" style="14" customWidth="1"/>
    <col min="12" max="12" width="33.625" style="15" customWidth="1"/>
    <col min="13" max="13" width="12.625" style="4"/>
    <col min="14" max="14" width="9" style="4"/>
    <col min="15" max="15" width="20" style="4" customWidth="1"/>
    <col min="16" max="16" width="16.5" style="4"/>
    <col min="17" max="17" width="17.875" style="4" customWidth="1"/>
    <col min="18" max="251" width="9" style="4"/>
    <col min="252" max="16384" width="9" style="5"/>
  </cols>
  <sheetData>
    <row r="1" s="1" customFormat="1" ht="32" customHeight="1" spans="1:251">
      <c r="A1" s="16" t="s">
        <v>112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6"/>
    </row>
    <row r="2" s="2" customFormat="1" ht="21" customHeight="1" spans="1:251">
      <c r="A2" s="2" t="s">
        <v>113</v>
      </c>
      <c r="F2" s="18"/>
      <c r="G2" s="19"/>
      <c r="H2" s="19"/>
      <c r="K2" s="20"/>
    </row>
    <row r="3" ht="18" customHeight="1" spans="1:251">
      <c r="A3" s="21" t="s">
        <v>3</v>
      </c>
      <c r="B3" s="22" t="s">
        <v>114</v>
      </c>
      <c r="C3" s="23" t="s">
        <v>4</v>
      </c>
      <c r="D3" s="21" t="s">
        <v>5</v>
      </c>
      <c r="E3" s="21"/>
      <c r="F3" s="21"/>
      <c r="G3" s="21"/>
      <c r="H3" s="21"/>
      <c r="I3" s="21" t="s">
        <v>6</v>
      </c>
      <c r="J3" s="21"/>
      <c r="K3" s="24" t="s">
        <v>115</v>
      </c>
      <c r="L3" s="25" t="s">
        <v>10</v>
      </c>
    </row>
    <row r="4" ht="23" customHeight="1" spans="1:251">
      <c r="A4" s="21"/>
      <c r="B4" s="22" t="s">
        <v>116</v>
      </c>
      <c r="C4" s="23"/>
      <c r="D4" s="21" t="s">
        <v>11</v>
      </c>
      <c r="E4" s="21" t="s">
        <v>12</v>
      </c>
      <c r="F4" s="25" t="s">
        <v>117</v>
      </c>
      <c r="G4" s="26" t="s">
        <v>14</v>
      </c>
      <c r="H4" s="21" t="s">
        <v>15</v>
      </c>
      <c r="I4" s="21" t="s">
        <v>16</v>
      </c>
      <c r="J4" s="27" t="s">
        <v>17</v>
      </c>
      <c r="K4" s="24"/>
      <c r="L4" s="25"/>
    </row>
    <row r="5" ht="19.5" customHeight="1" spans="1:251">
      <c r="A5" s="28">
        <v>1</v>
      </c>
      <c r="B5" s="29">
        <v>2</v>
      </c>
      <c r="C5" s="21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10</v>
      </c>
      <c r="K5" s="28">
        <v>11</v>
      </c>
      <c r="L5" s="28">
        <v>12</v>
      </c>
    </row>
    <row r="6" ht="19.5" customHeight="1" spans="1:251">
      <c r="A6" s="21" t="s">
        <v>18</v>
      </c>
      <c r="B6" s="30"/>
      <c r="C6" s="31" t="s">
        <v>118</v>
      </c>
      <c r="D6" s="32"/>
      <c r="E6" s="32"/>
      <c r="F6" s="32"/>
      <c r="G6" s="32"/>
      <c r="H6" s="33"/>
      <c r="I6" s="34"/>
      <c r="J6" s="35"/>
      <c r="K6" s="36"/>
      <c r="L6" s="37"/>
    </row>
    <row r="7" s="3" customFormat="1" ht="19.5" customHeight="1" spans="1:251">
      <c r="A7" s="38"/>
      <c r="B7" s="39" t="s">
        <v>18</v>
      </c>
      <c r="C7" s="40" t="s">
        <v>119</v>
      </c>
      <c r="D7" s="41"/>
      <c r="E7" s="41"/>
      <c r="F7" s="41"/>
      <c r="G7" s="42"/>
      <c r="H7" s="41"/>
      <c r="I7" s="34"/>
      <c r="J7" s="32"/>
      <c r="K7" s="32"/>
      <c r="L7" s="43"/>
      <c r="M7" s="4">
        <v>233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</row>
    <row r="8" s="4" customFormat="1" ht="19.5" customHeight="1" spans="1:251">
      <c r="A8" s="21"/>
      <c r="B8" s="39" t="s">
        <v>67</v>
      </c>
      <c r="C8" s="31" t="s">
        <v>22</v>
      </c>
      <c r="D8" s="32"/>
      <c r="E8" s="32"/>
      <c r="F8" s="32"/>
      <c r="G8" s="32"/>
      <c r="H8" s="32"/>
      <c r="I8" s="34"/>
      <c r="J8" s="35"/>
      <c r="K8" s="36"/>
      <c r="L8" s="37"/>
      <c r="N8" s="15"/>
      <c r="O8" s="44" t="s">
        <v>66</v>
      </c>
      <c r="P8" s="44">
        <f>H212</f>
        <v>0</v>
      </c>
    </row>
    <row r="9" s="4" customFormat="1" ht="19.5" customHeight="1" spans="1:251">
      <c r="A9" s="28"/>
      <c r="B9" s="39" t="s">
        <v>21</v>
      </c>
      <c r="C9" s="31" t="s">
        <v>120</v>
      </c>
      <c r="D9" s="32">
        <f t="shared" ref="D9:G9" si="0">SUM(D10:D17)</f>
        <v>1520.21</v>
      </c>
      <c r="E9" s="32">
        <f t="shared" si="0"/>
        <v>0</v>
      </c>
      <c r="F9" s="32">
        <f t="shared" si="0"/>
        <v>0</v>
      </c>
      <c r="G9" s="32">
        <f t="shared" si="0"/>
        <v>0</v>
      </c>
      <c r="H9" s="32">
        <f t="shared" ref="H9:H28" si="1">SUM(D9:G9)</f>
        <v>1520.21</v>
      </c>
      <c r="I9" s="34"/>
      <c r="J9" s="32"/>
      <c r="K9" s="36"/>
      <c r="L9" s="37"/>
      <c r="N9" s="15"/>
      <c r="O9" s="44" t="s">
        <v>121</v>
      </c>
      <c r="P9" s="44" t="e">
        <f>#REF!+#REF!+P8</f>
        <v>#REF!</v>
      </c>
    </row>
    <row r="10" s="4" customFormat="1" ht="19.5" customHeight="1" spans="1:251">
      <c r="A10" s="28"/>
      <c r="B10" s="39" t="s">
        <v>122</v>
      </c>
      <c r="C10" s="31" t="s">
        <v>123</v>
      </c>
      <c r="D10" s="32">
        <f t="shared" ref="D10:D14" si="2">ROUND(K10*J10/10000,2)</f>
        <v>276.91</v>
      </c>
      <c r="E10" s="32"/>
      <c r="F10" s="32"/>
      <c r="G10" s="36"/>
      <c r="H10" s="32">
        <f>D10</f>
        <v>276.91</v>
      </c>
      <c r="I10" s="34" t="s">
        <v>124</v>
      </c>
      <c r="J10" s="45">
        <v>42602</v>
      </c>
      <c r="K10" s="36">
        <v>65</v>
      </c>
      <c r="L10" s="26"/>
    </row>
    <row r="11" s="4" customFormat="1" ht="19.5" customHeight="1" spans="1:251">
      <c r="A11" s="28"/>
      <c r="B11" s="39" t="s">
        <v>125</v>
      </c>
      <c r="C11" s="31" t="s">
        <v>126</v>
      </c>
      <c r="D11" s="32">
        <f t="shared" si="2"/>
        <v>362.12</v>
      </c>
      <c r="E11" s="32"/>
      <c r="F11" s="32"/>
      <c r="G11" s="36"/>
      <c r="H11" s="32">
        <f t="shared" si="1"/>
        <v>362.12</v>
      </c>
      <c r="I11" s="34" t="s">
        <v>124</v>
      </c>
      <c r="J11" s="45">
        <f>J10</f>
        <v>42602</v>
      </c>
      <c r="K11" s="36">
        <v>85</v>
      </c>
      <c r="L11" s="26"/>
    </row>
    <row r="12" s="4" customFormat="1" ht="19.5" customHeight="1" spans="1:251">
      <c r="A12" s="28"/>
      <c r="B12" s="39" t="s">
        <v>127</v>
      </c>
      <c r="C12" s="31" t="s">
        <v>128</v>
      </c>
      <c r="D12" s="32">
        <f t="shared" si="2"/>
        <v>76.68</v>
      </c>
      <c r="E12" s="32"/>
      <c r="F12" s="32"/>
      <c r="G12" s="36"/>
      <c r="H12" s="32">
        <f t="shared" si="1"/>
        <v>76.68</v>
      </c>
      <c r="I12" s="34" t="s">
        <v>124</v>
      </c>
      <c r="J12" s="45">
        <f>J10</f>
        <v>42602</v>
      </c>
      <c r="K12" s="36">
        <v>18</v>
      </c>
      <c r="L12" s="37"/>
      <c r="N12" s="15"/>
      <c r="O12" s="46"/>
      <c r="P12" s="46"/>
    </row>
    <row r="13" s="5" customFormat="1" ht="19.5" customHeight="1" spans="1:251">
      <c r="A13" s="28"/>
      <c r="B13" s="39" t="s">
        <v>129</v>
      </c>
      <c r="C13" s="31" t="s">
        <v>130</v>
      </c>
      <c r="D13" s="32">
        <f t="shared" si="2"/>
        <v>328.61</v>
      </c>
      <c r="E13" s="32"/>
      <c r="F13" s="32"/>
      <c r="G13" s="36"/>
      <c r="H13" s="32">
        <f t="shared" si="1"/>
        <v>328.61</v>
      </c>
      <c r="I13" s="34" t="s">
        <v>124</v>
      </c>
      <c r="J13" s="45">
        <v>43815</v>
      </c>
      <c r="K13" s="36">
        <v>75</v>
      </c>
      <c r="L13" s="26"/>
      <c r="M13" s="36"/>
      <c r="N13" s="15"/>
      <c r="O13" s="15"/>
      <c r="P13" s="15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="4" customFormat="1" ht="19.5" customHeight="1" spans="1:251">
      <c r="A14" s="28"/>
      <c r="B14" s="39" t="s">
        <v>131</v>
      </c>
      <c r="C14" s="31" t="s">
        <v>132</v>
      </c>
      <c r="D14" s="32">
        <f t="shared" si="2"/>
        <v>310.59</v>
      </c>
      <c r="E14" s="32"/>
      <c r="F14" s="32"/>
      <c r="G14" s="36"/>
      <c r="H14" s="32">
        <f t="shared" si="1"/>
        <v>310.59</v>
      </c>
      <c r="I14" s="34" t="s">
        <v>124</v>
      </c>
      <c r="J14" s="45">
        <v>44370</v>
      </c>
      <c r="K14" s="36">
        <v>70</v>
      </c>
      <c r="L14" s="37"/>
      <c r="N14" s="15"/>
      <c r="O14" s="47"/>
      <c r="P14" s="47"/>
    </row>
    <row r="15" s="4" customFormat="1" ht="19.5" customHeight="1" spans="1:251">
      <c r="A15" s="28"/>
      <c r="B15" s="39" t="s">
        <v>133</v>
      </c>
      <c r="C15" s="31" t="s">
        <v>134</v>
      </c>
      <c r="D15" s="32">
        <f t="shared" ref="D15:D21" si="3">ROUND(J15*K15/10000,2)</f>
        <v>135.48</v>
      </c>
      <c r="E15" s="32"/>
      <c r="F15" s="32"/>
      <c r="G15" s="36"/>
      <c r="H15" s="32">
        <f t="shared" si="1"/>
        <v>135.48</v>
      </c>
      <c r="I15" s="34" t="s">
        <v>124</v>
      </c>
      <c r="J15" s="45">
        <v>45160</v>
      </c>
      <c r="K15" s="36">
        <v>30</v>
      </c>
      <c r="L15" s="37"/>
      <c r="N15" s="15"/>
      <c r="O15" s="46"/>
      <c r="P15" s="46"/>
    </row>
    <row r="16" s="4" customFormat="1" ht="19.5" customHeight="1" spans="1:251">
      <c r="A16" s="28"/>
      <c r="B16" s="39" t="s">
        <v>135</v>
      </c>
      <c r="C16" s="48" t="s">
        <v>136</v>
      </c>
      <c r="D16" s="32">
        <f t="shared" si="3"/>
        <v>8.52</v>
      </c>
      <c r="E16" s="32"/>
      <c r="F16" s="32"/>
      <c r="G16" s="36"/>
      <c r="H16" s="32">
        <f t="shared" si="1"/>
        <v>8.52</v>
      </c>
      <c r="I16" s="34" t="s">
        <v>124</v>
      </c>
      <c r="J16" s="45">
        <f>J10</f>
        <v>42602</v>
      </c>
      <c r="K16" s="36">
        <v>2</v>
      </c>
      <c r="L16" s="37"/>
      <c r="N16" s="15"/>
      <c r="O16" s="46"/>
      <c r="P16" s="46"/>
    </row>
    <row r="17" s="4" customFormat="1" ht="19.5" customHeight="1" spans="1:256">
      <c r="A17" s="28"/>
      <c r="B17" s="39" t="s">
        <v>137</v>
      </c>
      <c r="C17" s="31" t="s">
        <v>138</v>
      </c>
      <c r="D17" s="32">
        <f>ROUND(K17*J17/10000,2)</f>
        <v>21.3</v>
      </c>
      <c r="E17" s="32"/>
      <c r="F17" s="32"/>
      <c r="G17" s="36"/>
      <c r="H17" s="32">
        <f t="shared" si="1"/>
        <v>21.3</v>
      </c>
      <c r="I17" s="34" t="s">
        <v>124</v>
      </c>
      <c r="J17" s="45">
        <f>J10</f>
        <v>42602</v>
      </c>
      <c r="K17" s="36">
        <v>5</v>
      </c>
      <c r="L17" s="37"/>
      <c r="N17" s="15"/>
      <c r="O17" s="46"/>
      <c r="P17" s="46"/>
    </row>
    <row r="18" s="4" customFormat="1" ht="19.5" customHeight="1" spans="1:256">
      <c r="A18" s="28"/>
      <c r="B18" s="39" t="s">
        <v>23</v>
      </c>
      <c r="C18" s="31" t="s">
        <v>139</v>
      </c>
      <c r="D18" s="32">
        <f t="shared" ref="D18:G18" si="4">SUM(D19:D21)</f>
        <v>323.93</v>
      </c>
      <c r="E18" s="32">
        <f t="shared" si="4"/>
        <v>0</v>
      </c>
      <c r="F18" s="32">
        <f t="shared" si="4"/>
        <v>0</v>
      </c>
      <c r="G18" s="32">
        <f t="shared" si="4"/>
        <v>0</v>
      </c>
      <c r="H18" s="32">
        <f t="shared" si="1"/>
        <v>323.93</v>
      </c>
      <c r="I18" s="34"/>
      <c r="J18" s="32"/>
      <c r="K18" s="36"/>
      <c r="L18" s="37"/>
      <c r="N18" s="15"/>
      <c r="O18" s="46"/>
      <c r="P18" s="46"/>
    </row>
    <row r="19" s="4" customFormat="1" ht="19.5" customHeight="1" spans="1:256">
      <c r="A19" s="28"/>
      <c r="B19" s="39" t="s">
        <v>140</v>
      </c>
      <c r="C19" s="31" t="s">
        <v>141</v>
      </c>
      <c r="D19" s="32">
        <f t="shared" si="3"/>
        <v>165.73</v>
      </c>
      <c r="E19" s="32"/>
      <c r="F19" s="32"/>
      <c r="G19" s="36"/>
      <c r="H19" s="32">
        <f t="shared" si="1"/>
        <v>165.73</v>
      </c>
      <c r="I19" s="34" t="s">
        <v>124</v>
      </c>
      <c r="J19" s="45">
        <v>15066</v>
      </c>
      <c r="K19" s="36">
        <v>110</v>
      </c>
      <c r="L19" s="37"/>
      <c r="N19" s="15"/>
      <c r="O19" s="46"/>
      <c r="P19" s="46"/>
    </row>
    <row r="20" s="4" customFormat="1" ht="19.5" customHeight="1" spans="1:256">
      <c r="A20" s="28"/>
      <c r="B20" s="39" t="s">
        <v>142</v>
      </c>
      <c r="C20" s="31" t="s">
        <v>143</v>
      </c>
      <c r="D20" s="32">
        <f t="shared" si="3"/>
        <v>120.53</v>
      </c>
      <c r="E20" s="32"/>
      <c r="F20" s="32"/>
      <c r="G20" s="36"/>
      <c r="H20" s="32">
        <f t="shared" si="1"/>
        <v>120.53</v>
      </c>
      <c r="I20" s="34" t="s">
        <v>124</v>
      </c>
      <c r="J20" s="45">
        <f>J19</f>
        <v>15066</v>
      </c>
      <c r="K20" s="36">
        <v>80</v>
      </c>
      <c r="L20" s="26"/>
    </row>
    <row r="21" s="4" customFormat="1" ht="19.5" customHeight="1" spans="1:256">
      <c r="A21" s="28"/>
      <c r="B21" s="39" t="s">
        <v>144</v>
      </c>
      <c r="C21" s="31" t="s">
        <v>145</v>
      </c>
      <c r="D21" s="32">
        <f t="shared" si="3"/>
        <v>37.67</v>
      </c>
      <c r="E21" s="32"/>
      <c r="F21" s="32"/>
      <c r="G21" s="36"/>
      <c r="H21" s="32">
        <f t="shared" si="1"/>
        <v>37.67</v>
      </c>
      <c r="I21" s="34" t="s">
        <v>124</v>
      </c>
      <c r="J21" s="45">
        <f>J19</f>
        <v>15066</v>
      </c>
      <c r="K21" s="36">
        <v>25</v>
      </c>
      <c r="L21" s="26"/>
    </row>
    <row r="22" s="4" customFormat="1" ht="19.5" customHeight="1" spans="1:256">
      <c r="A22" s="28"/>
      <c r="B22" s="39" t="s">
        <v>25</v>
      </c>
      <c r="C22" s="31" t="s">
        <v>146</v>
      </c>
      <c r="D22" s="32">
        <f t="shared" ref="D22:G22" si="5">SUM(D23:D28)</f>
        <v>447.42</v>
      </c>
      <c r="E22" s="32">
        <f t="shared" si="5"/>
        <v>0</v>
      </c>
      <c r="F22" s="32">
        <f t="shared" si="5"/>
        <v>0</v>
      </c>
      <c r="G22" s="32">
        <f t="shared" si="5"/>
        <v>0</v>
      </c>
      <c r="H22" s="32">
        <f t="shared" si="1"/>
        <v>447.42</v>
      </c>
      <c r="I22" s="34"/>
      <c r="J22" s="32"/>
      <c r="K22" s="36"/>
      <c r="L22" s="37"/>
      <c r="N22" s="15"/>
      <c r="O22" s="47"/>
      <c r="P22" s="47"/>
    </row>
    <row r="23" s="4" customFormat="1" ht="19.5" customHeight="1" spans="1:256">
      <c r="A23" s="28"/>
      <c r="B23" s="39" t="s">
        <v>147</v>
      </c>
      <c r="C23" s="31" t="s">
        <v>148</v>
      </c>
      <c r="D23" s="32">
        <f t="shared" ref="D23:D28" si="6">ROUND(K23*J23/10000,2)</f>
        <v>97.25</v>
      </c>
      <c r="E23" s="32"/>
      <c r="F23" s="32"/>
      <c r="G23" s="36"/>
      <c r="H23" s="32">
        <f t="shared" si="1"/>
        <v>97.25</v>
      </c>
      <c r="I23" s="34" t="s">
        <v>149</v>
      </c>
      <c r="J23" s="45">
        <v>8841</v>
      </c>
      <c r="K23" s="36">
        <v>110</v>
      </c>
      <c r="L23" s="26"/>
    </row>
    <row r="24" s="4" customFormat="1" ht="19.5" customHeight="1" spans="1:256">
      <c r="A24" s="28"/>
      <c r="B24" s="39" t="s">
        <v>150</v>
      </c>
      <c r="C24" s="31" t="s">
        <v>151</v>
      </c>
      <c r="D24" s="32">
        <f t="shared" si="6"/>
        <v>4.1</v>
      </c>
      <c r="E24" s="32"/>
      <c r="F24" s="32"/>
      <c r="G24" s="36"/>
      <c r="H24" s="32">
        <f t="shared" si="1"/>
        <v>4.1</v>
      </c>
      <c r="I24" s="34" t="s">
        <v>149</v>
      </c>
      <c r="J24" s="45">
        <v>585</v>
      </c>
      <c r="K24" s="36">
        <v>70</v>
      </c>
      <c r="L24" s="26"/>
    </row>
    <row r="25" s="4" customFormat="1" ht="19.5" customHeight="1" spans="1:256">
      <c r="A25" s="28"/>
      <c r="B25" s="39" t="s">
        <v>152</v>
      </c>
      <c r="C25" s="31" t="s">
        <v>153</v>
      </c>
      <c r="D25" s="32">
        <f t="shared" si="6"/>
        <v>63.82</v>
      </c>
      <c r="E25" s="32"/>
      <c r="F25" s="32"/>
      <c r="G25" s="36"/>
      <c r="H25" s="32">
        <f t="shared" si="1"/>
        <v>63.82</v>
      </c>
      <c r="I25" s="34" t="s">
        <v>149</v>
      </c>
      <c r="J25" s="45">
        <v>7091</v>
      </c>
      <c r="K25" s="36">
        <v>90</v>
      </c>
      <c r="L25" s="26"/>
    </row>
    <row r="26" s="4" customFormat="1" ht="19.5" customHeight="1" spans="1:256">
      <c r="A26" s="28"/>
      <c r="B26" s="39" t="s">
        <v>154</v>
      </c>
      <c r="C26" s="31" t="s">
        <v>155</v>
      </c>
      <c r="D26" s="32">
        <f t="shared" si="6"/>
        <v>10</v>
      </c>
      <c r="E26" s="32"/>
      <c r="F26" s="32"/>
      <c r="G26" s="36"/>
      <c r="H26" s="32">
        <f t="shared" si="1"/>
        <v>10</v>
      </c>
      <c r="I26" s="34" t="s">
        <v>156</v>
      </c>
      <c r="J26" s="45">
        <v>200</v>
      </c>
      <c r="K26" s="36">
        <v>500</v>
      </c>
      <c r="L26" s="26"/>
    </row>
    <row r="27" s="4" customFormat="1" ht="19.5" customHeight="1" spans="1:256">
      <c r="A27" s="28"/>
      <c r="B27" s="39" t="s">
        <v>157</v>
      </c>
      <c r="C27" s="31" t="s">
        <v>158</v>
      </c>
      <c r="D27" s="32">
        <f t="shared" si="6"/>
        <v>16.64</v>
      </c>
      <c r="E27" s="32"/>
      <c r="F27" s="32"/>
      <c r="G27" s="36"/>
      <c r="H27" s="32">
        <f t="shared" si="1"/>
        <v>16.64</v>
      </c>
      <c r="I27" s="34" t="s">
        <v>20</v>
      </c>
      <c r="J27" s="45">
        <v>2560</v>
      </c>
      <c r="K27" s="36">
        <v>65</v>
      </c>
      <c r="L27" s="37"/>
      <c r="N27" s="15"/>
      <c r="O27" s="47"/>
      <c r="P27" s="47"/>
    </row>
    <row r="28" s="4" customFormat="1" ht="19.5" customHeight="1" spans="1:256">
      <c r="A28" s="28"/>
      <c r="B28" s="39" t="s">
        <v>159</v>
      </c>
      <c r="C28" s="31" t="s">
        <v>160</v>
      </c>
      <c r="D28" s="32">
        <f t="shared" si="6"/>
        <v>255.61</v>
      </c>
      <c r="E28" s="32"/>
      <c r="F28" s="32"/>
      <c r="G28" s="36"/>
      <c r="H28" s="32">
        <f t="shared" si="1"/>
        <v>255.61</v>
      </c>
      <c r="I28" s="34" t="s">
        <v>149</v>
      </c>
      <c r="J28" s="45">
        <f>J10</f>
        <v>42602</v>
      </c>
      <c r="K28" s="36">
        <v>60</v>
      </c>
      <c r="L28" s="26"/>
    </row>
    <row r="29" s="6" customFormat="1" ht="19.5" customHeight="1" spans="1:256">
      <c r="A29" s="49"/>
      <c r="B29" s="50"/>
      <c r="C29" s="51" t="s">
        <v>161</v>
      </c>
      <c r="D29" s="33">
        <f>D9+D14+D22</f>
        <v>2278.22</v>
      </c>
      <c r="E29" s="33">
        <f t="shared" ref="E29:G29" si="7">SUM(E9:E21)</f>
        <v>0</v>
      </c>
      <c r="F29" s="33">
        <f t="shared" si="7"/>
        <v>0</v>
      </c>
      <c r="G29" s="33">
        <f t="shared" si="7"/>
        <v>0</v>
      </c>
      <c r="H29" s="33">
        <f t="shared" ref="H29:H37" si="8">D29</f>
        <v>2278.22</v>
      </c>
      <c r="I29" s="52" t="s">
        <v>20</v>
      </c>
      <c r="J29" s="53">
        <v>5.640607</v>
      </c>
      <c r="K29" s="32">
        <f>H29*10000/J29</f>
        <v>4038962.47336501</v>
      </c>
      <c r="L29" s="54"/>
      <c r="M29" s="6">
        <v>1802</v>
      </c>
    </row>
    <row r="30" s="7" customFormat="1" ht="19.5" customHeight="1" spans="1:256">
      <c r="A30" s="49"/>
      <c r="B30" s="39" t="s">
        <v>162</v>
      </c>
      <c r="C30" s="31" t="s">
        <v>163</v>
      </c>
      <c r="D30" s="33"/>
      <c r="E30" s="33"/>
      <c r="F30" s="33"/>
      <c r="G30" s="33"/>
      <c r="H30" s="33"/>
      <c r="I30" s="52"/>
      <c r="J30" s="53"/>
      <c r="K30" s="36"/>
      <c r="L30" s="55"/>
    </row>
    <row r="31" s="8" customFormat="1" ht="19.5" customHeight="1" spans="1:256">
      <c r="A31" s="28"/>
      <c r="B31" s="56">
        <v>1</v>
      </c>
      <c r="C31" s="31" t="s">
        <v>164</v>
      </c>
      <c r="D31" s="32">
        <f t="shared" ref="D31:D37" si="9">ROUND(K31*J31/10000,2)</f>
        <v>11.4</v>
      </c>
      <c r="E31" s="32"/>
      <c r="F31" s="32"/>
      <c r="G31" s="36"/>
      <c r="H31" s="32">
        <f>SUM(D31:G31)</f>
        <v>11.4</v>
      </c>
      <c r="I31" s="34" t="s">
        <v>165</v>
      </c>
      <c r="J31" s="45">
        <v>57</v>
      </c>
      <c r="K31" s="36">
        <v>2000</v>
      </c>
      <c r="L31" s="26"/>
      <c r="O31" s="8">
        <v>69</v>
      </c>
      <c r="IR31" s="57"/>
      <c r="IS31" s="57"/>
      <c r="IT31" s="57"/>
      <c r="IU31" s="57"/>
      <c r="IV31" s="57"/>
    </row>
    <row r="32" s="7" customFormat="1" ht="19.5" customHeight="1" spans="1:256">
      <c r="A32" s="49"/>
      <c r="B32" s="56">
        <v>2</v>
      </c>
      <c r="C32" s="31" t="s">
        <v>166</v>
      </c>
      <c r="D32" s="32">
        <f t="shared" si="9"/>
        <v>36.3</v>
      </c>
      <c r="E32" s="33"/>
      <c r="F32" s="33"/>
      <c r="G32" s="33"/>
      <c r="H32" s="32">
        <f t="shared" si="8"/>
        <v>36.3</v>
      </c>
      <c r="I32" s="34" t="s">
        <v>165</v>
      </c>
      <c r="J32" s="45">
        <v>66</v>
      </c>
      <c r="K32" s="36">
        <v>5500</v>
      </c>
      <c r="L32" s="55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57"/>
      <c r="IS32" s="57"/>
      <c r="IT32" s="57"/>
      <c r="IU32" s="57"/>
      <c r="IV32" s="57"/>
    </row>
    <row r="33" s="7" customFormat="1" ht="19.5" customHeight="1" spans="1:256">
      <c r="A33" s="49"/>
      <c r="B33" s="56">
        <v>3</v>
      </c>
      <c r="C33" s="31" t="s">
        <v>167</v>
      </c>
      <c r="D33" s="32">
        <f t="shared" si="9"/>
        <v>11.02</v>
      </c>
      <c r="E33" s="33"/>
      <c r="F33" s="33"/>
      <c r="G33" s="33"/>
      <c r="H33" s="32">
        <f t="shared" si="8"/>
        <v>11.02</v>
      </c>
      <c r="I33" s="34" t="s">
        <v>165</v>
      </c>
      <c r="J33" s="45">
        <v>19</v>
      </c>
      <c r="K33" s="36">
        <v>5800</v>
      </c>
      <c r="L33" s="55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57"/>
      <c r="IS33" s="57"/>
      <c r="IT33" s="57"/>
      <c r="IU33" s="57"/>
      <c r="IV33" s="57"/>
    </row>
    <row r="34" s="7" customFormat="1" ht="19.5" customHeight="1" spans="1:256">
      <c r="A34" s="49"/>
      <c r="B34" s="56">
        <v>4</v>
      </c>
      <c r="C34" s="31" t="s">
        <v>168</v>
      </c>
      <c r="D34" s="32">
        <f t="shared" si="9"/>
        <v>6.3</v>
      </c>
      <c r="E34" s="33"/>
      <c r="F34" s="33"/>
      <c r="G34" s="33"/>
      <c r="H34" s="32">
        <f t="shared" si="8"/>
        <v>6.3</v>
      </c>
      <c r="I34" s="34" t="s">
        <v>165</v>
      </c>
      <c r="J34" s="45">
        <v>18</v>
      </c>
      <c r="K34" s="36">
        <v>3500</v>
      </c>
      <c r="L34" s="55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57"/>
      <c r="IS34" s="57"/>
      <c r="IT34" s="57"/>
      <c r="IU34" s="57"/>
      <c r="IV34" s="57"/>
    </row>
    <row r="35" s="7" customFormat="1" ht="19.5" customHeight="1" spans="1:256">
      <c r="A35" s="49"/>
      <c r="B35" s="56">
        <v>5</v>
      </c>
      <c r="C35" s="31" t="s">
        <v>169</v>
      </c>
      <c r="D35" s="32">
        <f t="shared" si="9"/>
        <v>435.75</v>
      </c>
      <c r="E35" s="33"/>
      <c r="F35" s="33"/>
      <c r="G35" s="33"/>
      <c r="H35" s="32">
        <f t="shared" si="8"/>
        <v>435.75</v>
      </c>
      <c r="I35" s="34" t="s">
        <v>149</v>
      </c>
      <c r="J35" s="45">
        <v>6225</v>
      </c>
      <c r="K35" s="36">
        <v>700</v>
      </c>
      <c r="L35" s="55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57"/>
      <c r="IS35" s="57"/>
      <c r="IT35" s="57"/>
      <c r="IU35" s="57"/>
      <c r="IV35" s="57"/>
    </row>
    <row r="36" s="7" customFormat="1" ht="19.5" customHeight="1" spans="1:256">
      <c r="A36" s="49"/>
      <c r="B36" s="56">
        <v>6</v>
      </c>
      <c r="C36" s="31" t="s">
        <v>170</v>
      </c>
      <c r="D36" s="32">
        <f t="shared" si="9"/>
        <v>31.5</v>
      </c>
      <c r="E36" s="33"/>
      <c r="F36" s="33"/>
      <c r="G36" s="33"/>
      <c r="H36" s="32">
        <f t="shared" si="8"/>
        <v>31.5</v>
      </c>
      <c r="I36" s="34" t="s">
        <v>149</v>
      </c>
      <c r="J36" s="45">
        <v>630</v>
      </c>
      <c r="K36" s="36">
        <v>500</v>
      </c>
      <c r="L36" s="55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57"/>
      <c r="IS36" s="57"/>
      <c r="IT36" s="57"/>
      <c r="IU36" s="57"/>
      <c r="IV36" s="57"/>
    </row>
    <row r="37" s="7" customFormat="1" ht="19.5" customHeight="1" spans="1:256">
      <c r="A37" s="49"/>
      <c r="B37" s="56">
        <v>7</v>
      </c>
      <c r="C37" s="31" t="s">
        <v>171</v>
      </c>
      <c r="D37" s="32">
        <f t="shared" si="9"/>
        <v>4.17</v>
      </c>
      <c r="E37" s="33"/>
      <c r="F37" s="33"/>
      <c r="G37" s="33"/>
      <c r="H37" s="32">
        <f t="shared" si="8"/>
        <v>4.17</v>
      </c>
      <c r="I37" s="34" t="s">
        <v>149</v>
      </c>
      <c r="J37" s="45">
        <v>139</v>
      </c>
      <c r="K37" s="36">
        <v>300</v>
      </c>
      <c r="L37" s="5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57"/>
      <c r="IS37" s="57"/>
      <c r="IT37" s="57"/>
      <c r="IU37" s="57"/>
      <c r="IV37" s="57"/>
    </row>
    <row r="38" s="7" customFormat="1" ht="19.5" customHeight="1" spans="1:256">
      <c r="A38" s="49"/>
      <c r="B38" s="50"/>
      <c r="C38" s="51" t="s">
        <v>172</v>
      </c>
      <c r="D38" s="33">
        <f>SUM(D31:D37)</f>
        <v>536.44</v>
      </c>
      <c r="E38" s="33">
        <f t="shared" ref="E38:G38" si="10">SUM(E31:E31)</f>
        <v>0</v>
      </c>
      <c r="F38" s="33">
        <f t="shared" si="10"/>
        <v>0</v>
      </c>
      <c r="G38" s="33">
        <f t="shared" si="10"/>
        <v>0</v>
      </c>
      <c r="H38" s="33">
        <f t="shared" ref="H38:H65" si="11">SUM(D38:G38)</f>
        <v>536.44</v>
      </c>
      <c r="I38" s="52" t="s">
        <v>20</v>
      </c>
      <c r="J38" s="53">
        <v>5.640607</v>
      </c>
      <c r="K38" s="36">
        <f>D38/J38*10000</f>
        <v>951032.397754355</v>
      </c>
      <c r="L38" s="54"/>
      <c r="M38" s="7">
        <v>48</v>
      </c>
      <c r="N38" s="7" t="e">
        <f>Macro1!#REF!</f>
        <v>#REF!</v>
      </c>
      <c r="O38" s="7">
        <v>79</v>
      </c>
      <c r="P38" s="8">
        <v>89</v>
      </c>
      <c r="Q38" s="8">
        <v>99</v>
      </c>
      <c r="R38" s="8">
        <v>9</v>
      </c>
      <c r="S38" s="8">
        <v>20</v>
      </c>
      <c r="T38" s="8">
        <v>30</v>
      </c>
    </row>
    <row r="39" s="4" customFormat="1" ht="19.5" customHeight="1" spans="1:256">
      <c r="A39" s="28"/>
      <c r="B39" s="39" t="s">
        <v>173</v>
      </c>
      <c r="C39" s="31" t="s">
        <v>174</v>
      </c>
      <c r="D39" s="32"/>
      <c r="E39" s="32"/>
      <c r="F39" s="32"/>
      <c r="G39" s="32"/>
      <c r="H39" s="32"/>
      <c r="I39" s="34"/>
      <c r="J39" s="32"/>
      <c r="K39" s="36"/>
      <c r="L39" s="26"/>
      <c r="M39" s="4">
        <v>691</v>
      </c>
    </row>
    <row r="40" s="3" customFormat="1" ht="19.5" customHeight="1" spans="1:256">
      <c r="A40" s="34"/>
      <c r="B40" s="39" t="s">
        <v>21</v>
      </c>
      <c r="C40" s="58" t="s">
        <v>175</v>
      </c>
      <c r="D40" s="32">
        <f t="shared" ref="D40:D64" si="12">ROUND(K40*J40/10000,2)</f>
        <v>4</v>
      </c>
      <c r="E40" s="32"/>
      <c r="F40" s="32"/>
      <c r="G40" s="36"/>
      <c r="H40" s="32">
        <f t="shared" si="11"/>
        <v>4</v>
      </c>
      <c r="I40" s="34" t="s">
        <v>165</v>
      </c>
      <c r="J40" s="45">
        <v>1</v>
      </c>
      <c r="K40" s="36">
        <v>40000</v>
      </c>
      <c r="L40" s="5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</row>
    <row r="41" s="3" customFormat="1" ht="19.5" customHeight="1" spans="1:256">
      <c r="A41" s="34"/>
      <c r="B41" s="39" t="s">
        <v>23</v>
      </c>
      <c r="C41" s="58" t="s">
        <v>176</v>
      </c>
      <c r="D41" s="32">
        <f t="shared" si="12"/>
        <v>2.8</v>
      </c>
      <c r="E41" s="32"/>
      <c r="F41" s="32"/>
      <c r="G41" s="36"/>
      <c r="H41" s="32">
        <f t="shared" si="11"/>
        <v>2.8</v>
      </c>
      <c r="I41" s="34" t="s">
        <v>165</v>
      </c>
      <c r="J41" s="45">
        <v>1</v>
      </c>
      <c r="K41" s="36">
        <v>28000</v>
      </c>
      <c r="L41" s="5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</row>
    <row r="42" s="3" customFormat="1" ht="19.5" customHeight="1" spans="1:256">
      <c r="A42" s="34"/>
      <c r="B42" s="39" t="s">
        <v>25</v>
      </c>
      <c r="C42" s="58" t="s">
        <v>177</v>
      </c>
      <c r="D42" s="32">
        <f t="shared" si="12"/>
        <v>33.6</v>
      </c>
      <c r="E42" s="32"/>
      <c r="F42" s="32"/>
      <c r="G42" s="36"/>
      <c r="H42" s="32">
        <f t="shared" si="11"/>
        <v>33.6</v>
      </c>
      <c r="I42" s="34" t="s">
        <v>165</v>
      </c>
      <c r="J42" s="45">
        <v>14</v>
      </c>
      <c r="K42" s="36">
        <v>24000</v>
      </c>
      <c r="L42" s="5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</row>
    <row r="43" s="3" customFormat="1" ht="19.5" customHeight="1" spans="1:256">
      <c r="A43" s="34"/>
      <c r="B43" s="39" t="s">
        <v>27</v>
      </c>
      <c r="C43" s="58" t="s">
        <v>178</v>
      </c>
      <c r="D43" s="32">
        <f t="shared" si="12"/>
        <v>24</v>
      </c>
      <c r="E43" s="32"/>
      <c r="F43" s="32"/>
      <c r="G43" s="36"/>
      <c r="H43" s="32">
        <f t="shared" si="11"/>
        <v>24</v>
      </c>
      <c r="I43" s="34" t="s">
        <v>165</v>
      </c>
      <c r="J43" s="45">
        <v>12</v>
      </c>
      <c r="K43" s="36">
        <v>20000</v>
      </c>
      <c r="L43" s="5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</row>
    <row r="44" s="3" customFormat="1" ht="19.5" customHeight="1" spans="1:256">
      <c r="A44" s="34"/>
      <c r="B44" s="39" t="s">
        <v>29</v>
      </c>
      <c r="C44" s="58" t="s">
        <v>179</v>
      </c>
      <c r="D44" s="32">
        <f t="shared" si="12"/>
        <v>42</v>
      </c>
      <c r="E44" s="32"/>
      <c r="F44" s="32"/>
      <c r="G44" s="36"/>
      <c r="H44" s="32">
        <f t="shared" si="11"/>
        <v>42</v>
      </c>
      <c r="I44" s="34" t="s">
        <v>165</v>
      </c>
      <c r="J44" s="45">
        <v>28</v>
      </c>
      <c r="K44" s="36">
        <v>15000</v>
      </c>
      <c r="L44" s="5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</row>
    <row r="45" s="3" customFormat="1" ht="19.5" customHeight="1" spans="1:256">
      <c r="A45" s="34"/>
      <c r="B45" s="39" t="s">
        <v>180</v>
      </c>
      <c r="C45" s="58" t="s">
        <v>181</v>
      </c>
      <c r="D45" s="32">
        <f t="shared" si="12"/>
        <v>1.8</v>
      </c>
      <c r="E45" s="32"/>
      <c r="F45" s="32"/>
      <c r="G45" s="36"/>
      <c r="H45" s="32">
        <f t="shared" si="11"/>
        <v>1.8</v>
      </c>
      <c r="I45" s="34" t="s">
        <v>165</v>
      </c>
      <c r="J45" s="45">
        <v>1</v>
      </c>
      <c r="K45" s="36">
        <v>18000</v>
      </c>
      <c r="L45" s="6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</row>
    <row r="46" s="3" customFormat="1" ht="19.5" customHeight="1" spans="1:256">
      <c r="A46" s="34"/>
      <c r="B46" s="39" t="s">
        <v>182</v>
      </c>
      <c r="C46" s="58" t="s">
        <v>183</v>
      </c>
      <c r="D46" s="32">
        <f t="shared" si="12"/>
        <v>4.8</v>
      </c>
      <c r="E46" s="32"/>
      <c r="F46" s="32"/>
      <c r="G46" s="36"/>
      <c r="H46" s="32">
        <f t="shared" si="11"/>
        <v>4.8</v>
      </c>
      <c r="I46" s="34" t="s">
        <v>165</v>
      </c>
      <c r="J46" s="45">
        <v>4</v>
      </c>
      <c r="K46" s="36">
        <v>12000</v>
      </c>
      <c r="L46" s="60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</row>
    <row r="47" s="3" customFormat="1" ht="19.5" customHeight="1" spans="1:256">
      <c r="A47" s="34"/>
      <c r="B47" s="39" t="s">
        <v>184</v>
      </c>
      <c r="C47" s="58" t="s">
        <v>185</v>
      </c>
      <c r="D47" s="32">
        <f t="shared" si="12"/>
        <v>57.2</v>
      </c>
      <c r="E47" s="32"/>
      <c r="F47" s="32"/>
      <c r="G47" s="36"/>
      <c r="H47" s="32">
        <f t="shared" si="11"/>
        <v>57.2</v>
      </c>
      <c r="I47" s="34" t="s">
        <v>165</v>
      </c>
      <c r="J47" s="45">
        <v>44</v>
      </c>
      <c r="K47" s="36">
        <v>13000</v>
      </c>
      <c r="L47" s="60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</row>
    <row r="48" s="3" customFormat="1" ht="19.5" customHeight="1" spans="1:256">
      <c r="A48" s="38"/>
      <c r="B48" s="39" t="s">
        <v>186</v>
      </c>
      <c r="C48" s="58" t="s">
        <v>187</v>
      </c>
      <c r="D48" s="32">
        <f t="shared" si="12"/>
        <v>45</v>
      </c>
      <c r="E48" s="32"/>
      <c r="F48" s="32"/>
      <c r="G48" s="36"/>
      <c r="H48" s="32">
        <f t="shared" si="11"/>
        <v>45</v>
      </c>
      <c r="I48" s="34" t="s">
        <v>165</v>
      </c>
      <c r="J48" s="45">
        <v>45</v>
      </c>
      <c r="K48" s="36">
        <v>10000</v>
      </c>
      <c r="L48" s="4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</row>
    <row r="49" s="3" customFormat="1" ht="19.5" customHeight="1" spans="1:256">
      <c r="A49" s="38"/>
      <c r="B49" s="39" t="s">
        <v>188</v>
      </c>
      <c r="C49" s="58" t="s">
        <v>189</v>
      </c>
      <c r="D49" s="32">
        <f t="shared" si="12"/>
        <v>188.8</v>
      </c>
      <c r="E49" s="32"/>
      <c r="F49" s="32"/>
      <c r="G49" s="36"/>
      <c r="H49" s="32">
        <f t="shared" si="11"/>
        <v>188.8</v>
      </c>
      <c r="I49" s="34" t="s">
        <v>165</v>
      </c>
      <c r="J49" s="45">
        <v>236</v>
      </c>
      <c r="K49" s="36">
        <v>8000</v>
      </c>
      <c r="L49" s="4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</row>
    <row r="50" s="4" customFormat="1" ht="18" customHeight="1" spans="1:256">
      <c r="A50" s="21"/>
      <c r="B50" s="39" t="s">
        <v>190</v>
      </c>
      <c r="C50" s="58" t="s">
        <v>191</v>
      </c>
      <c r="D50" s="32">
        <f t="shared" si="12"/>
        <v>54.46</v>
      </c>
      <c r="E50" s="32"/>
      <c r="F50" s="32"/>
      <c r="G50" s="36"/>
      <c r="H50" s="32">
        <f t="shared" si="11"/>
        <v>54.46</v>
      </c>
      <c r="I50" s="34" t="s">
        <v>165</v>
      </c>
      <c r="J50" s="45">
        <v>389</v>
      </c>
      <c r="K50" s="36">
        <v>1400</v>
      </c>
      <c r="L50" s="37"/>
    </row>
    <row r="51" s="4" customFormat="1" ht="18" customHeight="1" spans="1:256">
      <c r="A51" s="21"/>
      <c r="B51" s="39" t="s">
        <v>192</v>
      </c>
      <c r="C51" s="58" t="s">
        <v>193</v>
      </c>
      <c r="D51" s="32">
        <f t="shared" si="12"/>
        <v>18</v>
      </c>
      <c r="E51" s="32"/>
      <c r="F51" s="32"/>
      <c r="G51" s="36"/>
      <c r="H51" s="32">
        <f t="shared" si="11"/>
        <v>18</v>
      </c>
      <c r="I51" s="34" t="s">
        <v>165</v>
      </c>
      <c r="J51" s="45">
        <v>75</v>
      </c>
      <c r="K51" s="36">
        <v>2400</v>
      </c>
      <c r="L51" s="37"/>
      <c r="IR51" s="5"/>
      <c r="IS51" s="5"/>
      <c r="IT51" s="5"/>
      <c r="IU51" s="5"/>
      <c r="IV51" s="5"/>
    </row>
    <row r="52" s="3" customFormat="1" ht="19.5" customHeight="1" spans="1:256">
      <c r="A52" s="34"/>
      <c r="B52" s="39" t="s">
        <v>194</v>
      </c>
      <c r="C52" s="58" t="s">
        <v>195</v>
      </c>
      <c r="D52" s="32">
        <f t="shared" si="12"/>
        <v>5.1</v>
      </c>
      <c r="E52" s="32"/>
      <c r="F52" s="32"/>
      <c r="G52" s="36"/>
      <c r="H52" s="32">
        <f t="shared" si="11"/>
        <v>5.1</v>
      </c>
      <c r="I52" s="34" t="s">
        <v>196</v>
      </c>
      <c r="J52" s="45">
        <v>6</v>
      </c>
      <c r="K52" s="36">
        <v>8500</v>
      </c>
      <c r="L52" s="59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</row>
    <row r="53" s="3" customFormat="1" ht="19.5" customHeight="1" spans="1:256">
      <c r="A53" s="38"/>
      <c r="B53" s="39" t="s">
        <v>197</v>
      </c>
      <c r="C53" s="58" t="s">
        <v>198</v>
      </c>
      <c r="D53" s="32">
        <f t="shared" si="12"/>
        <v>3</v>
      </c>
      <c r="E53" s="32"/>
      <c r="F53" s="32"/>
      <c r="G53" s="36"/>
      <c r="H53" s="32">
        <f t="shared" si="11"/>
        <v>3</v>
      </c>
      <c r="I53" s="34" t="s">
        <v>196</v>
      </c>
      <c r="J53" s="45">
        <v>3</v>
      </c>
      <c r="K53" s="36">
        <v>10000</v>
      </c>
      <c r="L53" s="4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</row>
    <row r="54" s="3" customFormat="1" ht="19.5" customHeight="1" spans="1:256">
      <c r="A54" s="38"/>
      <c r="B54" s="39" t="s">
        <v>199</v>
      </c>
      <c r="C54" s="58" t="s">
        <v>200</v>
      </c>
      <c r="D54" s="32">
        <f t="shared" si="12"/>
        <v>1.3</v>
      </c>
      <c r="E54" s="32"/>
      <c r="F54" s="32"/>
      <c r="G54" s="36"/>
      <c r="H54" s="32">
        <f t="shared" si="11"/>
        <v>1.3</v>
      </c>
      <c r="I54" s="34" t="s">
        <v>196</v>
      </c>
      <c r="J54" s="45">
        <v>1</v>
      </c>
      <c r="K54" s="36">
        <v>13000</v>
      </c>
      <c r="L54" s="4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</row>
    <row r="55" s="3" customFormat="1" ht="19.5" customHeight="1" spans="1:256">
      <c r="A55" s="38"/>
      <c r="B55" s="39" t="s">
        <v>201</v>
      </c>
      <c r="C55" s="58" t="s">
        <v>202</v>
      </c>
      <c r="D55" s="32">
        <f t="shared" si="12"/>
        <v>1.8</v>
      </c>
      <c r="E55" s="32"/>
      <c r="F55" s="32"/>
      <c r="G55" s="36"/>
      <c r="H55" s="32">
        <f t="shared" si="11"/>
        <v>1.8</v>
      </c>
      <c r="I55" s="34" t="s">
        <v>196</v>
      </c>
      <c r="J55" s="45">
        <v>1</v>
      </c>
      <c r="K55" s="36">
        <v>18000</v>
      </c>
      <c r="L55" s="4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</row>
    <row r="56" s="3" customFormat="1" ht="19.5" customHeight="1" spans="1:256">
      <c r="A56" s="38"/>
      <c r="B56" s="39" t="s">
        <v>203</v>
      </c>
      <c r="C56" s="58" t="s">
        <v>204</v>
      </c>
      <c r="D56" s="32">
        <f t="shared" si="12"/>
        <v>2.4</v>
      </c>
      <c r="E56" s="32"/>
      <c r="F56" s="32"/>
      <c r="G56" s="36"/>
      <c r="H56" s="32">
        <f t="shared" si="11"/>
        <v>2.4</v>
      </c>
      <c r="I56" s="34" t="s">
        <v>196</v>
      </c>
      <c r="J56" s="45">
        <v>1</v>
      </c>
      <c r="K56" s="36">
        <v>24000</v>
      </c>
      <c r="L56" s="4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</row>
    <row r="57" s="4" customFormat="1" ht="18" customHeight="1" spans="1:256">
      <c r="A57" s="21"/>
      <c r="B57" s="39" t="s">
        <v>205</v>
      </c>
      <c r="C57" s="31" t="s">
        <v>206</v>
      </c>
      <c r="D57" s="32">
        <f t="shared" si="12"/>
        <v>15.2</v>
      </c>
      <c r="E57" s="32"/>
      <c r="F57" s="32"/>
      <c r="G57" s="36"/>
      <c r="H57" s="32">
        <f t="shared" si="11"/>
        <v>15.2</v>
      </c>
      <c r="I57" s="34" t="s">
        <v>149</v>
      </c>
      <c r="J57" s="45">
        <v>40</v>
      </c>
      <c r="K57" s="36">
        <v>3800</v>
      </c>
      <c r="L57" s="37"/>
    </row>
    <row r="58" s="4" customFormat="1" ht="18" customHeight="1" spans="1:256">
      <c r="A58" s="21"/>
      <c r="B58" s="39" t="s">
        <v>207</v>
      </c>
      <c r="C58" s="31" t="s">
        <v>208</v>
      </c>
      <c r="D58" s="32">
        <f t="shared" si="12"/>
        <v>126</v>
      </c>
      <c r="E58" s="32"/>
      <c r="F58" s="32"/>
      <c r="G58" s="36"/>
      <c r="H58" s="32">
        <f t="shared" si="11"/>
        <v>126</v>
      </c>
      <c r="I58" s="34" t="s">
        <v>149</v>
      </c>
      <c r="J58" s="45">
        <v>420</v>
      </c>
      <c r="K58" s="36">
        <v>3000</v>
      </c>
      <c r="L58" s="37"/>
    </row>
    <row r="59" s="4" customFormat="1" ht="18" customHeight="1" spans="1:256">
      <c r="A59" s="21"/>
      <c r="B59" s="39" t="s">
        <v>209</v>
      </c>
      <c r="C59" s="31" t="s">
        <v>210</v>
      </c>
      <c r="D59" s="32">
        <f t="shared" si="12"/>
        <v>182.6</v>
      </c>
      <c r="E59" s="32"/>
      <c r="F59" s="32"/>
      <c r="G59" s="36"/>
      <c r="H59" s="32">
        <f t="shared" si="11"/>
        <v>182.6</v>
      </c>
      <c r="I59" s="34" t="s">
        <v>149</v>
      </c>
      <c r="J59" s="45">
        <v>830</v>
      </c>
      <c r="K59" s="36">
        <v>2200</v>
      </c>
      <c r="L59" s="37"/>
    </row>
    <row r="60" s="4" customFormat="1" ht="18" customHeight="1" spans="1:256">
      <c r="A60" s="61"/>
      <c r="B60" s="39" t="s">
        <v>211</v>
      </c>
      <c r="C60" s="58" t="s">
        <v>212</v>
      </c>
      <c r="D60" s="32">
        <f t="shared" si="12"/>
        <v>159</v>
      </c>
      <c r="E60" s="32"/>
      <c r="F60" s="32"/>
      <c r="G60" s="36"/>
      <c r="H60" s="32">
        <f t="shared" si="11"/>
        <v>159</v>
      </c>
      <c r="I60" s="34" t="s">
        <v>149</v>
      </c>
      <c r="J60" s="45">
        <v>1060</v>
      </c>
      <c r="K60" s="36">
        <v>1500</v>
      </c>
      <c r="L60" s="62"/>
    </row>
    <row r="61" s="4" customFormat="1" ht="18" customHeight="1" spans="1:256">
      <c r="A61" s="61"/>
      <c r="B61" s="39" t="s">
        <v>213</v>
      </c>
      <c r="C61" s="31" t="s">
        <v>214</v>
      </c>
      <c r="D61" s="32">
        <f t="shared" si="12"/>
        <v>475</v>
      </c>
      <c r="E61" s="32"/>
      <c r="F61" s="32"/>
      <c r="G61" s="36"/>
      <c r="H61" s="32">
        <f t="shared" si="11"/>
        <v>475</v>
      </c>
      <c r="I61" s="34" t="s">
        <v>149</v>
      </c>
      <c r="J61" s="45">
        <v>4750</v>
      </c>
      <c r="K61" s="36">
        <v>1000</v>
      </c>
      <c r="L61" s="62"/>
    </row>
    <row r="62" s="4" customFormat="1" ht="18" customHeight="1" spans="1:256">
      <c r="A62" s="61"/>
      <c r="B62" s="39" t="s">
        <v>215</v>
      </c>
      <c r="C62" s="31" t="s">
        <v>216</v>
      </c>
      <c r="D62" s="32">
        <f t="shared" si="12"/>
        <v>242</v>
      </c>
      <c r="E62" s="41"/>
      <c r="F62" s="41"/>
      <c r="G62" s="42"/>
      <c r="H62" s="32">
        <f t="shared" si="11"/>
        <v>242</v>
      </c>
      <c r="I62" s="38" t="s">
        <v>149</v>
      </c>
      <c r="J62" s="45">
        <v>4400</v>
      </c>
      <c r="K62" s="42">
        <v>550</v>
      </c>
      <c r="L62" s="62"/>
    </row>
    <row r="63" s="4" customFormat="1" ht="18" customHeight="1" spans="1:256">
      <c r="A63" s="61"/>
      <c r="B63" s="39" t="s">
        <v>217</v>
      </c>
      <c r="C63" s="58" t="s">
        <v>218</v>
      </c>
      <c r="D63" s="32">
        <f t="shared" si="12"/>
        <v>232.4</v>
      </c>
      <c r="E63" s="32"/>
      <c r="F63" s="32"/>
      <c r="G63" s="36"/>
      <c r="H63" s="32">
        <f t="shared" si="11"/>
        <v>232.4</v>
      </c>
      <c r="I63" s="34" t="s">
        <v>149</v>
      </c>
      <c r="J63" s="45">
        <f>(J60+J61)*0.5</f>
        <v>2905</v>
      </c>
      <c r="K63" s="36">
        <v>800</v>
      </c>
      <c r="L63" s="62"/>
    </row>
    <row r="64" s="4" customFormat="1" ht="18" customHeight="1" spans="1:256">
      <c r="A64" s="61"/>
      <c r="B64" s="39" t="s">
        <v>219</v>
      </c>
      <c r="C64" s="31" t="s">
        <v>220</v>
      </c>
      <c r="D64" s="32">
        <f t="shared" si="12"/>
        <v>77.4</v>
      </c>
      <c r="E64" s="32"/>
      <c r="F64" s="32"/>
      <c r="G64" s="36"/>
      <c r="H64" s="32">
        <f t="shared" si="11"/>
        <v>77.4</v>
      </c>
      <c r="I64" s="34" t="s">
        <v>149</v>
      </c>
      <c r="J64" s="45">
        <f>(J57+J58+J59)*0.5</f>
        <v>645</v>
      </c>
      <c r="K64" s="36">
        <v>1200</v>
      </c>
      <c r="L64" s="62"/>
    </row>
    <row r="65" s="3" customFormat="1" ht="19.5" customHeight="1" spans="1:251">
      <c r="A65" s="40"/>
      <c r="B65" s="63"/>
      <c r="C65" s="64" t="s">
        <v>221</v>
      </c>
      <c r="D65" s="65">
        <f>SUM(D40:D64)</f>
        <v>1999.66</v>
      </c>
      <c r="E65" s="65">
        <f>SUM(E41:E59)</f>
        <v>0</v>
      </c>
      <c r="F65" s="65">
        <f>SUM(F39:F59)</f>
        <v>0</v>
      </c>
      <c r="G65" s="65">
        <f>SUM(G39:G59)</f>
        <v>0</v>
      </c>
      <c r="H65" s="65">
        <f t="shared" si="11"/>
        <v>1999.66</v>
      </c>
      <c r="I65" s="52" t="s">
        <v>20</v>
      </c>
      <c r="J65" s="53">
        <v>5.640607</v>
      </c>
      <c r="K65" s="32">
        <f>H65*10000/J65</f>
        <v>3545114.91405092</v>
      </c>
      <c r="L65" s="6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</row>
    <row r="66" s="3" customFormat="1" ht="19.5" customHeight="1" spans="1:251">
      <c r="A66" s="38"/>
      <c r="B66" s="39" t="s">
        <v>222</v>
      </c>
      <c r="C66" s="67" t="s">
        <v>223</v>
      </c>
      <c r="D66" s="41"/>
      <c r="E66" s="41"/>
      <c r="F66" s="41"/>
      <c r="G66" s="42"/>
      <c r="H66" s="41"/>
      <c r="I66" s="34"/>
      <c r="J66" s="41"/>
      <c r="K66" s="42"/>
      <c r="L66" s="43"/>
      <c r="M66" s="4">
        <v>233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</row>
    <row r="67" s="3" customFormat="1" ht="19.5" customHeight="1" spans="1:251">
      <c r="A67" s="34"/>
      <c r="B67" s="39" t="s">
        <v>21</v>
      </c>
      <c r="C67" s="58" t="s">
        <v>224</v>
      </c>
      <c r="D67" s="32">
        <f t="shared" ref="D67:D80" si="13">ROUND(K67*J67/10000,2)</f>
        <v>175</v>
      </c>
      <c r="E67" s="32"/>
      <c r="F67" s="32"/>
      <c r="G67" s="36"/>
      <c r="H67" s="32">
        <f t="shared" ref="H67:H69" si="14">SUM(D67:G67)</f>
        <v>175</v>
      </c>
      <c r="I67" s="34" t="s">
        <v>165</v>
      </c>
      <c r="J67" s="45">
        <v>250</v>
      </c>
      <c r="K67" s="36">
        <v>7000</v>
      </c>
      <c r="L67" s="59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</row>
    <row r="68" s="3" customFormat="1" ht="19.5" customHeight="1" spans="1:251">
      <c r="A68" s="38"/>
      <c r="B68" s="39" t="s">
        <v>23</v>
      </c>
      <c r="C68" s="31" t="s">
        <v>225</v>
      </c>
      <c r="D68" s="32">
        <f t="shared" si="13"/>
        <v>306.6</v>
      </c>
      <c r="E68" s="32"/>
      <c r="F68" s="41"/>
      <c r="G68" s="42"/>
      <c r="H68" s="32">
        <f t="shared" si="14"/>
        <v>306.6</v>
      </c>
      <c r="I68" s="38" t="s">
        <v>149</v>
      </c>
      <c r="J68" s="45">
        <v>4380</v>
      </c>
      <c r="K68" s="42">
        <v>700</v>
      </c>
      <c r="L68" s="4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</row>
    <row r="69" s="3" customFormat="1" ht="19.5" customHeight="1" spans="1:251">
      <c r="A69" s="38"/>
      <c r="B69" s="39" t="s">
        <v>25</v>
      </c>
      <c r="C69" s="31" t="s">
        <v>226</v>
      </c>
      <c r="D69" s="32">
        <f t="shared" si="13"/>
        <v>41.8</v>
      </c>
      <c r="E69" s="32"/>
      <c r="F69" s="41"/>
      <c r="G69" s="42"/>
      <c r="H69" s="32">
        <f t="shared" si="14"/>
        <v>41.8</v>
      </c>
      <c r="I69" s="38" t="s">
        <v>149</v>
      </c>
      <c r="J69" s="45">
        <v>760</v>
      </c>
      <c r="K69" s="42">
        <f>K62</f>
        <v>550</v>
      </c>
      <c r="L69" s="4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</row>
    <row r="70" s="3" customFormat="1" ht="19.5" customHeight="1" spans="1:251">
      <c r="A70" s="38"/>
      <c r="B70" s="39" t="s">
        <v>27</v>
      </c>
      <c r="C70" s="31" t="s">
        <v>167</v>
      </c>
      <c r="D70" s="32">
        <f t="shared" si="13"/>
        <v>0.8</v>
      </c>
      <c r="E70" s="33"/>
      <c r="F70" s="33"/>
      <c r="G70" s="33"/>
      <c r="H70" s="32">
        <f t="shared" ref="H70:H72" si="15">D70</f>
        <v>0.8</v>
      </c>
      <c r="I70" s="34" t="s">
        <v>165</v>
      </c>
      <c r="J70" s="45">
        <v>1</v>
      </c>
      <c r="K70" s="36">
        <v>8000</v>
      </c>
      <c r="L70" s="4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</row>
    <row r="71" s="3" customFormat="1" ht="19.5" customHeight="1" spans="1:251">
      <c r="A71" s="38"/>
      <c r="B71" s="39" t="s">
        <v>29</v>
      </c>
      <c r="C71" s="31" t="s">
        <v>168</v>
      </c>
      <c r="D71" s="32">
        <f t="shared" si="13"/>
        <v>0.6</v>
      </c>
      <c r="E71" s="33"/>
      <c r="F71" s="33"/>
      <c r="G71" s="33"/>
      <c r="H71" s="32">
        <f t="shared" si="15"/>
        <v>0.6</v>
      </c>
      <c r="I71" s="34" t="s">
        <v>165</v>
      </c>
      <c r="J71" s="45">
        <v>1</v>
      </c>
      <c r="K71" s="36">
        <v>6000</v>
      </c>
      <c r="L71" s="4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</row>
    <row r="72" s="3" customFormat="1" ht="19.5" customHeight="1" spans="1:251">
      <c r="A72" s="38"/>
      <c r="B72" s="39" t="s">
        <v>180</v>
      </c>
      <c r="C72" s="31" t="s">
        <v>166</v>
      </c>
      <c r="D72" s="32">
        <f t="shared" si="13"/>
        <v>0.7</v>
      </c>
      <c r="E72" s="33"/>
      <c r="F72" s="33"/>
      <c r="G72" s="33"/>
      <c r="H72" s="32">
        <f t="shared" si="15"/>
        <v>0.7</v>
      </c>
      <c r="I72" s="34" t="s">
        <v>165</v>
      </c>
      <c r="J72" s="45">
        <v>1</v>
      </c>
      <c r="K72" s="36">
        <v>7000</v>
      </c>
      <c r="L72" s="4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</row>
    <row r="73" s="3" customFormat="1" ht="19.5" customHeight="1" spans="1:251">
      <c r="A73" s="38"/>
      <c r="B73" s="39" t="s">
        <v>182</v>
      </c>
      <c r="C73" s="31" t="s">
        <v>227</v>
      </c>
      <c r="D73" s="32">
        <f t="shared" si="13"/>
        <v>200</v>
      </c>
      <c r="E73" s="32"/>
      <c r="F73" s="41"/>
      <c r="G73" s="42"/>
      <c r="H73" s="32">
        <f t="shared" ref="H73:H76" si="16">SUM(D73:G73)</f>
        <v>200</v>
      </c>
      <c r="I73" s="38" t="s">
        <v>165</v>
      </c>
      <c r="J73" s="45">
        <v>1</v>
      </c>
      <c r="K73" s="42">
        <v>2000000</v>
      </c>
      <c r="L73" s="4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</row>
    <row r="74" s="3" customFormat="1" ht="19.5" customHeight="1" spans="1:251">
      <c r="A74" s="38"/>
      <c r="B74" s="39" t="s">
        <v>184</v>
      </c>
      <c r="C74" s="31" t="s">
        <v>228</v>
      </c>
      <c r="D74" s="32">
        <f t="shared" si="13"/>
        <v>36</v>
      </c>
      <c r="E74" s="33"/>
      <c r="F74" s="33"/>
      <c r="G74" s="33"/>
      <c r="H74" s="32">
        <f>D74</f>
        <v>36</v>
      </c>
      <c r="I74" s="34" t="s">
        <v>149</v>
      </c>
      <c r="J74" s="45">
        <v>400</v>
      </c>
      <c r="K74" s="36">
        <v>900</v>
      </c>
      <c r="L74" s="4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</row>
    <row r="75" s="4" customFormat="1" ht="18" hidden="1" customHeight="1" spans="1:251">
      <c r="A75" s="61"/>
      <c r="B75" s="39" t="s">
        <v>186</v>
      </c>
      <c r="C75" s="58" t="s">
        <v>218</v>
      </c>
      <c r="D75" s="32">
        <f t="shared" si="13"/>
        <v>0</v>
      </c>
      <c r="E75" s="32"/>
      <c r="F75" s="32"/>
      <c r="G75" s="36"/>
      <c r="H75" s="32">
        <f t="shared" si="16"/>
        <v>0</v>
      </c>
      <c r="I75" s="34" t="s">
        <v>149</v>
      </c>
      <c r="J75" s="45"/>
      <c r="K75" s="36">
        <f>K63</f>
        <v>800</v>
      </c>
      <c r="L75" s="62"/>
    </row>
    <row r="76" s="4" customFormat="1" ht="18" customHeight="1" spans="1:251">
      <c r="A76" s="61"/>
      <c r="B76" s="39" t="s">
        <v>188</v>
      </c>
      <c r="C76" s="31" t="s">
        <v>220</v>
      </c>
      <c r="D76" s="32">
        <f t="shared" si="13"/>
        <v>262.8</v>
      </c>
      <c r="E76" s="32"/>
      <c r="F76" s="32"/>
      <c r="G76" s="36"/>
      <c r="H76" s="32">
        <f t="shared" si="16"/>
        <v>262.8</v>
      </c>
      <c r="I76" s="34" t="s">
        <v>149</v>
      </c>
      <c r="J76" s="45">
        <f>(J68)*0.5</f>
        <v>2190</v>
      </c>
      <c r="K76" s="36">
        <f>K64</f>
        <v>1200</v>
      </c>
      <c r="L76" s="62"/>
    </row>
    <row r="77" s="3" customFormat="1" ht="19.5" customHeight="1" spans="1:251">
      <c r="A77" s="38"/>
      <c r="B77" s="39" t="s">
        <v>190</v>
      </c>
      <c r="C77" s="31" t="s">
        <v>229</v>
      </c>
      <c r="D77" s="32">
        <f t="shared" si="13"/>
        <v>14</v>
      </c>
      <c r="E77" s="33"/>
      <c r="F77" s="33"/>
      <c r="G77" s="33"/>
      <c r="H77" s="32">
        <f>D77</f>
        <v>14</v>
      </c>
      <c r="I77" s="34" t="s">
        <v>149</v>
      </c>
      <c r="J77" s="45">
        <v>5600</v>
      </c>
      <c r="K77" s="36">
        <v>25</v>
      </c>
      <c r="L77" s="4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</row>
    <row r="78" s="4" customFormat="1" ht="18" customHeight="1" spans="1:251">
      <c r="A78" s="61"/>
      <c r="B78" s="39" t="s">
        <v>192</v>
      </c>
      <c r="C78" s="58" t="s">
        <v>230</v>
      </c>
      <c r="D78" s="32">
        <f t="shared" si="13"/>
        <v>9</v>
      </c>
      <c r="E78" s="32"/>
      <c r="F78" s="32"/>
      <c r="G78" s="36"/>
      <c r="H78" s="32">
        <f t="shared" ref="H78:H81" si="17">SUM(D78:G78)</f>
        <v>9</v>
      </c>
      <c r="I78" s="34" t="s">
        <v>149</v>
      </c>
      <c r="J78" s="45">
        <v>3000</v>
      </c>
      <c r="K78" s="36">
        <v>30</v>
      </c>
      <c r="L78" s="62"/>
    </row>
    <row r="79" s="4" customFormat="1" ht="18" customHeight="1" spans="1:251">
      <c r="A79" s="61"/>
      <c r="B79" s="39" t="s">
        <v>194</v>
      </c>
      <c r="C79" s="31" t="s">
        <v>231</v>
      </c>
      <c r="D79" s="32">
        <f t="shared" si="13"/>
        <v>12</v>
      </c>
      <c r="E79" s="32"/>
      <c r="F79" s="32"/>
      <c r="G79" s="36"/>
      <c r="H79" s="32">
        <f t="shared" si="17"/>
        <v>12</v>
      </c>
      <c r="I79" s="34" t="s">
        <v>149</v>
      </c>
      <c r="J79" s="45">
        <v>3000</v>
      </c>
      <c r="K79" s="36">
        <v>40</v>
      </c>
      <c r="L79" s="62"/>
    </row>
    <row r="80" s="4" customFormat="1" ht="18" customHeight="1" spans="1:251">
      <c r="A80" s="61"/>
      <c r="B80" s="39" t="s">
        <v>197</v>
      </c>
      <c r="C80" s="31" t="s">
        <v>232</v>
      </c>
      <c r="D80" s="32">
        <f t="shared" si="13"/>
        <v>39</v>
      </c>
      <c r="E80" s="32"/>
      <c r="F80" s="32"/>
      <c r="G80" s="36"/>
      <c r="H80" s="32">
        <f t="shared" si="17"/>
        <v>39</v>
      </c>
      <c r="I80" s="34" t="s">
        <v>149</v>
      </c>
      <c r="J80" s="45">
        <v>1300</v>
      </c>
      <c r="K80" s="36">
        <v>300</v>
      </c>
      <c r="L80" s="62"/>
    </row>
    <row r="81" s="3" customFormat="1" ht="19.5" customHeight="1" spans="1:251">
      <c r="A81" s="40"/>
      <c r="B81" s="63"/>
      <c r="C81" s="64" t="s">
        <v>233</v>
      </c>
      <c r="D81" s="65">
        <f>SUM(D67:D80)</f>
        <v>1098.3</v>
      </c>
      <c r="E81" s="65">
        <f t="shared" ref="E81:G81" si="18">SUM(E67:E74)</f>
        <v>0</v>
      </c>
      <c r="F81" s="65">
        <f t="shared" si="18"/>
        <v>0</v>
      </c>
      <c r="G81" s="65">
        <f t="shared" si="18"/>
        <v>0</v>
      </c>
      <c r="H81" s="65">
        <f t="shared" si="17"/>
        <v>1098.3</v>
      </c>
      <c r="I81" s="52" t="s">
        <v>20</v>
      </c>
      <c r="J81" s="53">
        <v>5.640607</v>
      </c>
      <c r="K81" s="32">
        <f>H81*10000/J81</f>
        <v>1947130.8672985</v>
      </c>
      <c r="L81" s="66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</row>
    <row r="82" s="6" customFormat="1" ht="19.5" customHeight="1" spans="1:251">
      <c r="A82" s="21"/>
      <c r="B82" s="39" t="s">
        <v>234</v>
      </c>
      <c r="C82" s="31" t="s">
        <v>235</v>
      </c>
      <c r="D82" s="32"/>
      <c r="E82" s="32"/>
      <c r="F82" s="32"/>
      <c r="G82" s="36"/>
      <c r="H82" s="32"/>
      <c r="I82" s="34"/>
      <c r="J82" s="35"/>
      <c r="K82" s="36"/>
      <c r="L82" s="37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</row>
    <row r="83" s="4" customFormat="1" ht="19.5" customHeight="1" spans="1:251">
      <c r="A83" s="49"/>
      <c r="B83" s="39" t="s">
        <v>21</v>
      </c>
      <c r="C83" s="31" t="s">
        <v>236</v>
      </c>
      <c r="D83" s="32">
        <f t="shared" ref="D83:D90" si="19">ROUND(K83*J83/10000,2)</f>
        <v>820.98</v>
      </c>
      <c r="E83" s="32"/>
      <c r="F83" s="32"/>
      <c r="G83" s="36"/>
      <c r="H83" s="32">
        <f t="shared" ref="H83:H91" si="20">SUM(D83:G83)</f>
        <v>820.98</v>
      </c>
      <c r="I83" s="34" t="s">
        <v>149</v>
      </c>
      <c r="J83" s="45">
        <v>4561</v>
      </c>
      <c r="K83" s="36">
        <v>1800</v>
      </c>
      <c r="L83" s="54"/>
    </row>
    <row r="84" s="4" customFormat="1" ht="19.5" customHeight="1" spans="1:251">
      <c r="A84" s="49"/>
      <c r="B84" s="39" t="s">
        <v>23</v>
      </c>
      <c r="C84" s="31" t="s">
        <v>237</v>
      </c>
      <c r="D84" s="32">
        <f t="shared" si="19"/>
        <v>249.92</v>
      </c>
      <c r="E84" s="32"/>
      <c r="F84" s="32"/>
      <c r="G84" s="36"/>
      <c r="H84" s="32">
        <f t="shared" si="20"/>
        <v>249.92</v>
      </c>
      <c r="I84" s="34" t="s">
        <v>149</v>
      </c>
      <c r="J84" s="45">
        <v>1136</v>
      </c>
      <c r="K84" s="36">
        <v>2200</v>
      </c>
      <c r="L84" s="54"/>
    </row>
    <row r="85" s="4" customFormat="1" ht="19.5" customHeight="1" spans="1:251">
      <c r="A85" s="49"/>
      <c r="B85" s="39" t="s">
        <v>25</v>
      </c>
      <c r="C85" s="31" t="s">
        <v>238</v>
      </c>
      <c r="D85" s="32">
        <f t="shared" si="19"/>
        <v>77.4</v>
      </c>
      <c r="E85" s="32"/>
      <c r="F85" s="32"/>
      <c r="G85" s="36"/>
      <c r="H85" s="32">
        <f t="shared" si="20"/>
        <v>77.4</v>
      </c>
      <c r="I85" s="34" t="s">
        <v>149</v>
      </c>
      <c r="J85" s="45">
        <v>516</v>
      </c>
      <c r="K85" s="36">
        <v>1500</v>
      </c>
      <c r="L85" s="54"/>
    </row>
    <row r="86" s="4" customFormat="1" ht="19.5" customHeight="1" spans="1:251">
      <c r="A86" s="28"/>
      <c r="B86" s="39" t="s">
        <v>27</v>
      </c>
      <c r="C86" s="31" t="s">
        <v>239</v>
      </c>
      <c r="D86" s="32">
        <f t="shared" si="19"/>
        <v>49.7</v>
      </c>
      <c r="E86" s="32"/>
      <c r="F86" s="32"/>
      <c r="G86" s="36"/>
      <c r="H86" s="32">
        <f t="shared" si="20"/>
        <v>49.7</v>
      </c>
      <c r="I86" s="34" t="s">
        <v>149</v>
      </c>
      <c r="J86" s="45">
        <v>12426</v>
      </c>
      <c r="K86" s="36">
        <v>40</v>
      </c>
      <c r="L86" s="68"/>
    </row>
    <row r="87" s="4" customFormat="1" ht="19.5" customHeight="1" spans="1:251">
      <c r="A87" s="28"/>
      <c r="B87" s="39" t="s">
        <v>29</v>
      </c>
      <c r="C87" s="31" t="s">
        <v>240</v>
      </c>
      <c r="D87" s="32">
        <f t="shared" si="19"/>
        <v>9.48</v>
      </c>
      <c r="E87" s="32"/>
      <c r="F87" s="32"/>
      <c r="G87" s="36"/>
      <c r="H87" s="32">
        <f t="shared" si="20"/>
        <v>9.48</v>
      </c>
      <c r="I87" s="34" t="s">
        <v>241</v>
      </c>
      <c r="J87" s="45">
        <v>729</v>
      </c>
      <c r="K87" s="36">
        <v>130</v>
      </c>
      <c r="L87" s="68"/>
    </row>
    <row r="88" s="4" customFormat="1" ht="19.5" customHeight="1" spans="1:251">
      <c r="A88" s="28"/>
      <c r="B88" s="39" t="s">
        <v>180</v>
      </c>
      <c r="C88" s="31" t="s">
        <v>242</v>
      </c>
      <c r="D88" s="32">
        <f t="shared" si="19"/>
        <v>64.35</v>
      </c>
      <c r="E88" s="32"/>
      <c r="F88" s="32"/>
      <c r="G88" s="36"/>
      <c r="H88" s="32">
        <f t="shared" si="20"/>
        <v>64.35</v>
      </c>
      <c r="I88" s="34" t="s">
        <v>165</v>
      </c>
      <c r="J88" s="45">
        <v>33</v>
      </c>
      <c r="K88" s="36">
        <v>19500</v>
      </c>
      <c r="L88" s="68"/>
    </row>
    <row r="89" s="4" customFormat="1" ht="19.5" customHeight="1" spans="1:251">
      <c r="A89" s="28"/>
      <c r="B89" s="39" t="s">
        <v>182</v>
      </c>
      <c r="C89" s="31" t="s">
        <v>243</v>
      </c>
      <c r="D89" s="32">
        <f t="shared" si="19"/>
        <v>125.05</v>
      </c>
      <c r="E89" s="32"/>
      <c r="F89" s="32"/>
      <c r="G89" s="36"/>
      <c r="H89" s="32">
        <f t="shared" si="20"/>
        <v>125.05</v>
      </c>
      <c r="I89" s="34" t="s">
        <v>165</v>
      </c>
      <c r="J89" s="45">
        <v>61</v>
      </c>
      <c r="K89" s="36">
        <v>20500</v>
      </c>
      <c r="L89" s="68"/>
    </row>
    <row r="90" s="4" customFormat="1" ht="19.5" customHeight="1" spans="1:251">
      <c r="A90" s="28"/>
      <c r="B90" s="39" t="s">
        <v>184</v>
      </c>
      <c r="C90" s="31" t="s">
        <v>244</v>
      </c>
      <c r="D90" s="32">
        <f t="shared" si="19"/>
        <v>70.95</v>
      </c>
      <c r="E90" s="32"/>
      <c r="F90" s="32"/>
      <c r="G90" s="36"/>
      <c r="H90" s="32">
        <f t="shared" si="20"/>
        <v>70.95</v>
      </c>
      <c r="I90" s="34" t="s">
        <v>165</v>
      </c>
      <c r="J90" s="45">
        <v>33</v>
      </c>
      <c r="K90" s="36">
        <v>21500</v>
      </c>
      <c r="L90" s="68"/>
    </row>
    <row r="91" s="4" customFormat="1" ht="19.5" customHeight="1" spans="1:251">
      <c r="A91" s="49"/>
      <c r="B91" s="50"/>
      <c r="C91" s="51" t="s">
        <v>245</v>
      </c>
      <c r="D91" s="33">
        <f>SUM(D83:D90)</f>
        <v>1467.83</v>
      </c>
      <c r="E91" s="33">
        <v>0</v>
      </c>
      <c r="F91" s="33">
        <v>0</v>
      </c>
      <c r="G91" s="33">
        <v>0</v>
      </c>
      <c r="H91" s="33">
        <f t="shared" si="20"/>
        <v>1467.83</v>
      </c>
      <c r="I91" s="52" t="s">
        <v>20</v>
      </c>
      <c r="J91" s="53">
        <v>5.640607</v>
      </c>
      <c r="K91" s="36">
        <f>H91/J91*10000</f>
        <v>2602255.39556292</v>
      </c>
      <c r="L91" s="54"/>
      <c r="M91" s="4">
        <v>432</v>
      </c>
    </row>
    <row r="92" s="4" customFormat="1" ht="19.5" customHeight="1" spans="1:251">
      <c r="A92" s="49"/>
      <c r="B92" s="39" t="s">
        <v>246</v>
      </c>
      <c r="C92" s="31" t="s">
        <v>30</v>
      </c>
      <c r="D92" s="32"/>
      <c r="E92" s="32"/>
      <c r="F92" s="32"/>
      <c r="G92" s="32"/>
      <c r="H92" s="32"/>
      <c r="I92" s="69"/>
      <c r="J92" s="32"/>
      <c r="K92" s="32"/>
      <c r="L92" s="54"/>
    </row>
    <row r="93" s="4" customFormat="1" ht="19.5" customHeight="1" spans="1:251">
      <c r="A93" s="49"/>
      <c r="B93" s="39" t="s">
        <v>21</v>
      </c>
      <c r="C93" s="31" t="s">
        <v>247</v>
      </c>
      <c r="D93" s="32">
        <f>ROUND(J93*K93/10000,2)</f>
        <v>145.08</v>
      </c>
      <c r="E93" s="32"/>
      <c r="F93" s="32"/>
      <c r="G93" s="36"/>
      <c r="H93" s="32">
        <f t="shared" ref="H93:H98" si="21">SUM(D93:G93)</f>
        <v>145.08</v>
      </c>
      <c r="I93" s="34" t="s">
        <v>149</v>
      </c>
      <c r="J93" s="45">
        <v>2340</v>
      </c>
      <c r="K93" s="36">
        <v>620</v>
      </c>
      <c r="L93" s="54"/>
    </row>
    <row r="94" s="4" customFormat="1" ht="19.5" customHeight="1" spans="1:251">
      <c r="A94" s="49"/>
      <c r="B94" s="39" t="s">
        <v>23</v>
      </c>
      <c r="C94" s="31" t="s">
        <v>248</v>
      </c>
      <c r="D94" s="32">
        <f t="shared" ref="D94:D98" si="22">ROUND(K94*J94/10000,2)</f>
        <v>105.48</v>
      </c>
      <c r="E94" s="32"/>
      <c r="F94" s="32"/>
      <c r="G94" s="36"/>
      <c r="H94" s="32">
        <f t="shared" si="21"/>
        <v>105.48</v>
      </c>
      <c r="I94" s="34" t="s">
        <v>149</v>
      </c>
      <c r="J94" s="45">
        <v>586</v>
      </c>
      <c r="K94" s="36">
        <v>1800</v>
      </c>
      <c r="L94" s="54"/>
    </row>
    <row r="95" s="4" customFormat="1" ht="19.5" customHeight="1" spans="1:251">
      <c r="A95" s="49"/>
      <c r="B95" s="39" t="s">
        <v>25</v>
      </c>
      <c r="C95" s="31" t="s">
        <v>249</v>
      </c>
      <c r="D95" s="32">
        <f t="shared" si="22"/>
        <v>42.24</v>
      </c>
      <c r="E95" s="32"/>
      <c r="F95" s="32"/>
      <c r="G95" s="36"/>
      <c r="H95" s="32">
        <f t="shared" si="21"/>
        <v>42.24</v>
      </c>
      <c r="I95" s="34" t="s">
        <v>149</v>
      </c>
      <c r="J95" s="45">
        <v>264</v>
      </c>
      <c r="K95" s="36">
        <v>1600</v>
      </c>
      <c r="L95" s="54"/>
    </row>
    <row r="96" s="4" customFormat="1" ht="19.5" customHeight="1" spans="1:251">
      <c r="A96" s="49"/>
      <c r="B96" s="39" t="s">
        <v>27</v>
      </c>
      <c r="C96" s="31" t="s">
        <v>250</v>
      </c>
      <c r="D96" s="32">
        <f t="shared" si="22"/>
        <v>10.8</v>
      </c>
      <c r="E96" s="33"/>
      <c r="F96" s="33"/>
      <c r="G96" s="33"/>
      <c r="H96" s="32">
        <f t="shared" si="21"/>
        <v>10.8</v>
      </c>
      <c r="I96" s="34" t="s">
        <v>165</v>
      </c>
      <c r="J96" s="45">
        <v>12</v>
      </c>
      <c r="K96" s="36">
        <v>9000</v>
      </c>
      <c r="L96" s="54"/>
    </row>
    <row r="97" s="4" customFormat="1" ht="19.5" customHeight="1" spans="1:256">
      <c r="A97" s="49"/>
      <c r="B97" s="39" t="s">
        <v>29</v>
      </c>
      <c r="C97" s="31" t="s">
        <v>251</v>
      </c>
      <c r="D97" s="32">
        <f t="shared" si="22"/>
        <v>23</v>
      </c>
      <c r="E97" s="33"/>
      <c r="F97" s="33"/>
      <c r="G97" s="33"/>
      <c r="H97" s="32">
        <f t="shared" si="21"/>
        <v>23</v>
      </c>
      <c r="I97" s="34" t="s">
        <v>165</v>
      </c>
      <c r="J97" s="45">
        <v>23</v>
      </c>
      <c r="K97" s="36">
        <v>10000</v>
      </c>
      <c r="L97" s="54"/>
    </row>
    <row r="98" s="4" customFormat="1" ht="19.5" customHeight="1" spans="1:256">
      <c r="A98" s="49"/>
      <c r="B98" s="39" t="s">
        <v>180</v>
      </c>
      <c r="C98" s="31" t="s">
        <v>252</v>
      </c>
      <c r="D98" s="32">
        <f t="shared" si="22"/>
        <v>13.2</v>
      </c>
      <c r="E98" s="33"/>
      <c r="F98" s="33"/>
      <c r="G98" s="33"/>
      <c r="H98" s="32">
        <f t="shared" si="21"/>
        <v>13.2</v>
      </c>
      <c r="I98" s="34" t="s">
        <v>165</v>
      </c>
      <c r="J98" s="45">
        <v>12</v>
      </c>
      <c r="K98" s="36">
        <v>11000</v>
      </c>
      <c r="L98" s="54"/>
    </row>
    <row r="99" s="4" customFormat="1" ht="19.5" customHeight="1" spans="1:256">
      <c r="A99" s="49"/>
      <c r="B99" s="39"/>
      <c r="C99" s="51" t="s">
        <v>253</v>
      </c>
      <c r="D99" s="33">
        <f>SUM(D93:D98)</f>
        <v>339.8</v>
      </c>
      <c r="E99" s="33">
        <f t="shared" ref="E99:G99" si="23">SUM(E96:E98)</f>
        <v>0</v>
      </c>
      <c r="F99" s="33">
        <f t="shared" si="23"/>
        <v>0</v>
      </c>
      <c r="G99" s="33">
        <f t="shared" si="23"/>
        <v>0</v>
      </c>
      <c r="H99" s="33">
        <f>D99</f>
        <v>339.8</v>
      </c>
      <c r="I99" s="52" t="s">
        <v>20</v>
      </c>
      <c r="J99" s="53">
        <v>5.640607</v>
      </c>
      <c r="K99" s="32">
        <f>H99/J99*10000</f>
        <v>602417.434861177</v>
      </c>
      <c r="L99" s="54"/>
      <c r="M99" s="4">
        <v>326</v>
      </c>
    </row>
    <row r="100" s="6" customFormat="1" ht="19.5" customHeight="1" spans="1:256">
      <c r="A100" s="21"/>
      <c r="B100" s="39" t="s">
        <v>254</v>
      </c>
      <c r="C100" s="31" t="s">
        <v>255</v>
      </c>
      <c r="D100" s="32"/>
      <c r="E100" s="32"/>
      <c r="F100" s="32"/>
      <c r="G100" s="36"/>
      <c r="H100" s="32"/>
      <c r="I100" s="34"/>
      <c r="J100" s="32"/>
      <c r="K100" s="36"/>
      <c r="L100" s="37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</row>
    <row r="101" s="9" customFormat="1" ht="19.5" customHeight="1" spans="1:256">
      <c r="A101" s="21"/>
      <c r="B101" s="30" t="s">
        <v>21</v>
      </c>
      <c r="C101" s="31" t="s">
        <v>256</v>
      </c>
      <c r="D101" s="32"/>
      <c r="E101" s="32">
        <f t="shared" ref="E101:E104" si="24">ROUND(K101*J101/10000,2)</f>
        <v>180.8</v>
      </c>
      <c r="F101" s="32"/>
      <c r="G101" s="36"/>
      <c r="H101" s="32">
        <f t="shared" ref="H101:H114" si="25">SUM(D101:G101)</f>
        <v>180.8</v>
      </c>
      <c r="I101" s="34" t="s">
        <v>257</v>
      </c>
      <c r="J101" s="45">
        <v>226</v>
      </c>
      <c r="K101" s="36">
        <v>8000</v>
      </c>
      <c r="L101" s="60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5"/>
      <c r="IS101" s="5"/>
      <c r="IT101" s="5"/>
      <c r="IU101" s="5"/>
      <c r="IV101" s="5"/>
    </row>
    <row r="102" s="9" customFormat="1" ht="19.5" customHeight="1" spans="1:256">
      <c r="A102" s="21"/>
      <c r="B102" s="30" t="s">
        <v>23</v>
      </c>
      <c r="C102" s="31" t="s">
        <v>258</v>
      </c>
      <c r="D102" s="32"/>
      <c r="E102" s="32">
        <f t="shared" si="24"/>
        <v>48</v>
      </c>
      <c r="F102" s="32"/>
      <c r="G102" s="36"/>
      <c r="H102" s="32">
        <f t="shared" si="25"/>
        <v>48</v>
      </c>
      <c r="I102" s="34" t="s">
        <v>257</v>
      </c>
      <c r="J102" s="45">
        <v>32</v>
      </c>
      <c r="K102" s="36">
        <v>15000</v>
      </c>
      <c r="L102" s="60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5"/>
      <c r="IS102" s="5"/>
      <c r="IT102" s="5"/>
      <c r="IU102" s="5"/>
      <c r="IV102" s="5"/>
    </row>
    <row r="103" s="4" customFormat="1" ht="19.5" customHeight="1" spans="1:256">
      <c r="A103" s="34"/>
      <c r="B103" s="30" t="s">
        <v>25</v>
      </c>
      <c r="C103" s="31" t="s">
        <v>259</v>
      </c>
      <c r="D103" s="32"/>
      <c r="E103" s="32">
        <f t="shared" si="24"/>
        <v>74.43</v>
      </c>
      <c r="F103" s="32"/>
      <c r="G103" s="36"/>
      <c r="H103" s="32">
        <f t="shared" si="25"/>
        <v>74.43</v>
      </c>
      <c r="I103" s="34" t="s">
        <v>149</v>
      </c>
      <c r="J103" s="45">
        <v>6766</v>
      </c>
      <c r="K103" s="36">
        <v>110</v>
      </c>
      <c r="L103" s="37"/>
    </row>
    <row r="104" s="4" customFormat="1" ht="19.5" customHeight="1" spans="1:256">
      <c r="A104" s="34"/>
      <c r="B104" s="30" t="s">
        <v>27</v>
      </c>
      <c r="C104" s="31" t="s">
        <v>260</v>
      </c>
      <c r="D104" s="32"/>
      <c r="E104" s="32">
        <f t="shared" si="24"/>
        <v>3.97</v>
      </c>
      <c r="F104" s="32"/>
      <c r="G104" s="36"/>
      <c r="H104" s="32">
        <f t="shared" si="25"/>
        <v>3.97</v>
      </c>
      <c r="I104" s="34" t="s">
        <v>149</v>
      </c>
      <c r="J104" s="45">
        <v>2644</v>
      </c>
      <c r="K104" s="36">
        <v>15</v>
      </c>
      <c r="L104" s="37"/>
    </row>
    <row r="105" s="4" customFormat="1" ht="19.5" customHeight="1" spans="1:256">
      <c r="A105" s="34"/>
      <c r="B105" s="30" t="s">
        <v>29</v>
      </c>
      <c r="C105" s="31" t="s">
        <v>261</v>
      </c>
      <c r="D105" s="32">
        <f t="shared" ref="D105:D109" si="26">ROUND(K105*J105/10000,2)</f>
        <v>39.48</v>
      </c>
      <c r="E105" s="32"/>
      <c r="F105" s="32"/>
      <c r="G105" s="36"/>
      <c r="H105" s="32">
        <f t="shared" si="25"/>
        <v>39.48</v>
      </c>
      <c r="I105" s="34" t="s">
        <v>149</v>
      </c>
      <c r="J105" s="45">
        <v>5640</v>
      </c>
      <c r="K105" s="36">
        <v>70</v>
      </c>
      <c r="L105" s="37"/>
      <c r="IR105" s="5"/>
      <c r="IS105" s="5"/>
      <c r="IT105" s="5"/>
      <c r="IU105" s="5"/>
      <c r="IV105" s="5"/>
    </row>
    <row r="106" s="4" customFormat="1" ht="19.5" customHeight="1" spans="1:256">
      <c r="A106" s="34"/>
      <c r="B106" s="30" t="s">
        <v>180</v>
      </c>
      <c r="C106" s="31" t="s">
        <v>262</v>
      </c>
      <c r="D106" s="32">
        <f t="shared" si="26"/>
        <v>18.33</v>
      </c>
      <c r="E106" s="32"/>
      <c r="F106" s="32"/>
      <c r="G106" s="36"/>
      <c r="H106" s="32">
        <f t="shared" si="25"/>
        <v>18.33</v>
      </c>
      <c r="I106" s="34" t="s">
        <v>149</v>
      </c>
      <c r="J106" s="45">
        <v>1410</v>
      </c>
      <c r="K106" s="36">
        <v>130</v>
      </c>
      <c r="L106" s="37"/>
      <c r="IR106" s="5"/>
      <c r="IS106" s="5"/>
      <c r="IT106" s="5"/>
      <c r="IU106" s="5"/>
      <c r="IV106" s="5"/>
    </row>
    <row r="107" s="4" customFormat="1" ht="19.5" customHeight="1" spans="1:256">
      <c r="A107" s="34"/>
      <c r="B107" s="30" t="s">
        <v>182</v>
      </c>
      <c r="C107" s="31" t="s">
        <v>263</v>
      </c>
      <c r="D107" s="32">
        <f t="shared" si="26"/>
        <v>17.58</v>
      </c>
      <c r="E107" s="32"/>
      <c r="F107" s="32"/>
      <c r="G107" s="36"/>
      <c r="H107" s="32">
        <f t="shared" si="25"/>
        <v>17.58</v>
      </c>
      <c r="I107" s="34" t="s">
        <v>165</v>
      </c>
      <c r="J107" s="45">
        <v>95</v>
      </c>
      <c r="K107" s="36">
        <v>1850</v>
      </c>
      <c r="L107" s="37"/>
      <c r="IR107" s="5"/>
      <c r="IS107" s="5"/>
      <c r="IT107" s="5"/>
      <c r="IU107" s="5"/>
      <c r="IV107" s="5"/>
    </row>
    <row r="108" s="4" customFormat="1" ht="19.5" customHeight="1" spans="1:256">
      <c r="A108" s="28"/>
      <c r="B108" s="30" t="s">
        <v>184</v>
      </c>
      <c r="C108" s="31" t="s">
        <v>264</v>
      </c>
      <c r="D108" s="32">
        <f t="shared" si="26"/>
        <v>16.92</v>
      </c>
      <c r="E108" s="32"/>
      <c r="F108" s="32"/>
      <c r="G108" s="36"/>
      <c r="H108" s="32">
        <f t="shared" si="25"/>
        <v>16.92</v>
      </c>
      <c r="I108" s="34" t="s">
        <v>149</v>
      </c>
      <c r="J108" s="45">
        <v>5640</v>
      </c>
      <c r="K108" s="36">
        <v>30</v>
      </c>
      <c r="L108" s="68"/>
    </row>
    <row r="109" s="4" customFormat="1" ht="19.5" customHeight="1" spans="1:256">
      <c r="A109" s="28"/>
      <c r="B109" s="30" t="s">
        <v>186</v>
      </c>
      <c r="C109" s="31" t="s">
        <v>240</v>
      </c>
      <c r="D109" s="32">
        <f t="shared" si="26"/>
        <v>3.35</v>
      </c>
      <c r="E109" s="32"/>
      <c r="F109" s="32"/>
      <c r="G109" s="36"/>
      <c r="H109" s="32">
        <f t="shared" si="25"/>
        <v>3.35</v>
      </c>
      <c r="I109" s="34" t="s">
        <v>241</v>
      </c>
      <c r="J109" s="45">
        <v>258</v>
      </c>
      <c r="K109" s="36">
        <v>130</v>
      </c>
      <c r="L109" s="68"/>
    </row>
    <row r="110" s="4" customFormat="1" ht="19.5" customHeight="1" spans="1:256">
      <c r="A110" s="34"/>
      <c r="B110" s="30" t="s">
        <v>188</v>
      </c>
      <c r="C110" s="31" t="s">
        <v>265</v>
      </c>
      <c r="D110" s="32"/>
      <c r="E110" s="32">
        <f>ROUND(K110*J110/10000*0.2,2)</f>
        <v>12</v>
      </c>
      <c r="F110" s="32">
        <f>ROUND(K110*J110/10000*0.8,2)</f>
        <v>48</v>
      </c>
      <c r="G110" s="36"/>
      <c r="H110" s="32">
        <f t="shared" si="25"/>
        <v>60</v>
      </c>
      <c r="I110" s="34" t="s">
        <v>257</v>
      </c>
      <c r="J110" s="45">
        <v>4</v>
      </c>
      <c r="K110" s="36">
        <v>150000</v>
      </c>
      <c r="L110" s="37"/>
    </row>
    <row r="111" s="4" customFormat="1" ht="19.5" customHeight="1" spans="1:256">
      <c r="A111" s="52"/>
      <c r="B111" s="70"/>
      <c r="C111" s="51" t="s">
        <v>266</v>
      </c>
      <c r="D111" s="33">
        <f t="shared" ref="D111:G111" si="27">SUM(D101:D110)</f>
        <v>95.66</v>
      </c>
      <c r="E111" s="33">
        <f t="shared" si="27"/>
        <v>319.2</v>
      </c>
      <c r="F111" s="33">
        <f t="shared" si="27"/>
        <v>48</v>
      </c>
      <c r="G111" s="33">
        <f t="shared" si="27"/>
        <v>0</v>
      </c>
      <c r="H111" s="33">
        <f t="shared" si="25"/>
        <v>462.86</v>
      </c>
      <c r="I111" s="52" t="s">
        <v>20</v>
      </c>
      <c r="J111" s="53">
        <v>5.640607</v>
      </c>
      <c r="K111" s="36">
        <f>H111/J111*10000</f>
        <v>820585.444084298</v>
      </c>
      <c r="L111" s="54"/>
      <c r="M111" s="4">
        <v>339</v>
      </c>
      <c r="N111" s="4" t="e">
        <f>市政不打印!#REF!+'[3]古田老旧小区改造（二期）'!$H$60</f>
        <v>#REF!</v>
      </c>
      <c r="IR111" s="5"/>
      <c r="IS111" s="5"/>
      <c r="IT111" s="5"/>
      <c r="IU111" s="5"/>
      <c r="IV111" s="5"/>
    </row>
    <row r="112" s="3" customFormat="1" ht="19.5" customHeight="1" spans="1:256">
      <c r="A112" s="40"/>
      <c r="B112" s="63"/>
      <c r="C112" s="64" t="s">
        <v>267</v>
      </c>
      <c r="D112" s="65">
        <f t="shared" ref="D112:G112" si="28">D29+D38+D65+D81+D91+D99+D111</f>
        <v>7815.91</v>
      </c>
      <c r="E112" s="65">
        <f t="shared" si="28"/>
        <v>319.2</v>
      </c>
      <c r="F112" s="65">
        <f t="shared" si="28"/>
        <v>48</v>
      </c>
      <c r="G112" s="65">
        <f t="shared" si="28"/>
        <v>0</v>
      </c>
      <c r="H112" s="65">
        <f t="shared" si="25"/>
        <v>8183.11</v>
      </c>
      <c r="I112" s="40"/>
      <c r="J112" s="71"/>
      <c r="K112" s="36"/>
      <c r="L112" s="66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</row>
    <row r="113" s="3" customFormat="1" ht="19.5" customHeight="1" spans="1:251">
      <c r="A113" s="38"/>
      <c r="B113" s="39" t="s">
        <v>18</v>
      </c>
      <c r="C113" s="40" t="s">
        <v>268</v>
      </c>
      <c r="D113" s="33">
        <f t="shared" ref="D113:G113" si="29">ROUND(K113*J113/10000,2)</f>
        <v>360</v>
      </c>
      <c r="E113" s="33">
        <f t="shared" si="29"/>
        <v>0</v>
      </c>
      <c r="F113" s="33">
        <f t="shared" si="29"/>
        <v>0</v>
      </c>
      <c r="G113" s="33">
        <f t="shared" si="29"/>
        <v>0</v>
      </c>
      <c r="H113" s="65">
        <f t="shared" si="25"/>
        <v>360</v>
      </c>
      <c r="I113" s="40" t="s">
        <v>124</v>
      </c>
      <c r="J113" s="71">
        <v>1800</v>
      </c>
      <c r="K113" s="36">
        <v>2000</v>
      </c>
      <c r="L113" s="43"/>
      <c r="M113" s="4">
        <v>233</v>
      </c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</row>
    <row r="114" s="4" customFormat="1" ht="19.5" customHeight="1" spans="1:251">
      <c r="A114" s="72"/>
      <c r="B114" s="70"/>
      <c r="C114" s="52" t="s">
        <v>269</v>
      </c>
      <c r="D114" s="73">
        <f>D112</f>
        <v>7815.91</v>
      </c>
      <c r="E114" s="73">
        <f>E112</f>
        <v>319.2</v>
      </c>
      <c r="F114" s="73">
        <f>F112</f>
        <v>48</v>
      </c>
      <c r="G114" s="73">
        <f>G112</f>
        <v>0</v>
      </c>
      <c r="H114" s="73">
        <f t="shared" si="25"/>
        <v>8183.11</v>
      </c>
      <c r="I114" s="52"/>
      <c r="J114" s="71"/>
      <c r="K114" s="36"/>
      <c r="L114" s="54"/>
    </row>
    <row r="115" s="6" customFormat="1" ht="19.5" customHeight="1" spans="1:251">
      <c r="A115" s="21" t="s">
        <v>31</v>
      </c>
      <c r="B115" s="30"/>
      <c r="C115" s="31" t="s">
        <v>270</v>
      </c>
      <c r="D115" s="33">
        <v>0</v>
      </c>
      <c r="E115" s="73">
        <v>0</v>
      </c>
      <c r="F115" s="73">
        <v>0</v>
      </c>
      <c r="G115" s="74">
        <f>H115</f>
        <v>1147.3</v>
      </c>
      <c r="H115" s="33">
        <f>SUM(H120:H136)+H116</f>
        <v>1147.3</v>
      </c>
      <c r="I115" s="34"/>
      <c r="J115" s="35"/>
      <c r="K115" s="36"/>
      <c r="L115" s="54"/>
    </row>
    <row r="116" s="6" customFormat="1" ht="19.5" customHeight="1" spans="1:251">
      <c r="A116" s="21"/>
      <c r="B116" s="30" t="s">
        <v>23</v>
      </c>
      <c r="C116" s="31" t="s">
        <v>271</v>
      </c>
      <c r="D116" s="33"/>
      <c r="E116" s="73"/>
      <c r="F116" s="73"/>
      <c r="G116" s="32">
        <f>SUM(G117:G119)</f>
        <v>91.4</v>
      </c>
      <c r="H116" s="32">
        <f>SUM(H117:H119)</f>
        <v>91.4</v>
      </c>
      <c r="I116" s="34"/>
      <c r="J116" s="35"/>
      <c r="K116" s="36"/>
      <c r="L116" s="54"/>
    </row>
    <row r="117" s="4" customFormat="1" ht="19.5" customHeight="1" spans="1:251">
      <c r="A117" s="28"/>
      <c r="B117" s="39" t="s">
        <v>140</v>
      </c>
      <c r="C117" s="31" t="s">
        <v>272</v>
      </c>
      <c r="D117" s="32"/>
      <c r="E117" s="32"/>
      <c r="F117" s="32"/>
      <c r="G117" s="36">
        <f t="shared" ref="G117:G119" si="30">ROUND(K117*J117/10000,2)</f>
        <v>51.4</v>
      </c>
      <c r="H117" s="32">
        <f t="shared" ref="H117:H119" si="31">G117</f>
        <v>51.4</v>
      </c>
      <c r="I117" s="34" t="s">
        <v>149</v>
      </c>
      <c r="J117" s="45">
        <v>5140</v>
      </c>
      <c r="K117" s="36">
        <v>100</v>
      </c>
      <c r="L117" s="68"/>
    </row>
    <row r="118" s="4" customFormat="1" ht="19.5" customHeight="1" spans="1:251">
      <c r="A118" s="28"/>
      <c r="B118" s="39" t="s">
        <v>142</v>
      </c>
      <c r="C118" s="31" t="s">
        <v>273</v>
      </c>
      <c r="D118" s="32"/>
      <c r="E118" s="32"/>
      <c r="F118" s="32"/>
      <c r="G118" s="36">
        <f t="shared" si="30"/>
        <v>18.72</v>
      </c>
      <c r="H118" s="32">
        <f t="shared" si="31"/>
        <v>18.72</v>
      </c>
      <c r="I118" s="34" t="s">
        <v>241</v>
      </c>
      <c r="J118" s="45">
        <v>104</v>
      </c>
      <c r="K118" s="36">
        <v>1800</v>
      </c>
      <c r="L118" s="68"/>
    </row>
    <row r="119" s="4" customFormat="1" ht="19.5" customHeight="1" spans="1:251">
      <c r="A119" s="28"/>
      <c r="B119" s="39" t="s">
        <v>144</v>
      </c>
      <c r="C119" s="31" t="s">
        <v>274</v>
      </c>
      <c r="D119" s="32"/>
      <c r="E119" s="32"/>
      <c r="F119" s="32"/>
      <c r="G119" s="36">
        <f t="shared" si="30"/>
        <v>21.28</v>
      </c>
      <c r="H119" s="32">
        <f t="shared" si="31"/>
        <v>21.28</v>
      </c>
      <c r="I119" s="34" t="s">
        <v>149</v>
      </c>
      <c r="J119" s="45">
        <v>2660</v>
      </c>
      <c r="K119" s="36">
        <v>80</v>
      </c>
      <c r="L119" s="68"/>
    </row>
    <row r="120" s="4" customFormat="1" ht="19.5" customHeight="1" spans="1:251">
      <c r="A120" s="72"/>
      <c r="B120" s="34">
        <v>1</v>
      </c>
      <c r="C120" s="75" t="s">
        <v>33</v>
      </c>
      <c r="D120" s="32"/>
      <c r="E120" s="32"/>
      <c r="F120" s="32"/>
      <c r="G120" s="32">
        <f t="shared" ref="G120:G122" si="32">H120</f>
        <v>140.71</v>
      </c>
      <c r="H120" s="32">
        <f>ROUND(80+(M137-5000)*1.2%,2)</f>
        <v>140.71</v>
      </c>
      <c r="I120" s="52"/>
      <c r="J120" s="53"/>
      <c r="K120" s="36"/>
      <c r="L120" s="26" t="s">
        <v>275</v>
      </c>
    </row>
    <row r="121" s="4" customFormat="1" ht="19.5" customHeight="1" spans="1:251">
      <c r="A121" s="72"/>
      <c r="B121" s="34">
        <v>2</v>
      </c>
      <c r="C121" s="75" t="s">
        <v>35</v>
      </c>
      <c r="D121" s="32"/>
      <c r="E121" s="32"/>
      <c r="F121" s="32"/>
      <c r="G121" s="32">
        <f t="shared" si="32"/>
        <v>184.44</v>
      </c>
      <c r="H121" s="32">
        <f>ROUND((218.6-181)/2000*(H114-8000)+181,2)</f>
        <v>184.44</v>
      </c>
      <c r="I121" s="52"/>
      <c r="J121" s="53"/>
      <c r="K121" s="36"/>
      <c r="L121" s="26" t="s">
        <v>276</v>
      </c>
    </row>
    <row r="122" s="4" customFormat="1" ht="19.5" customHeight="1" spans="1:251">
      <c r="A122" s="72"/>
      <c r="B122" s="34">
        <v>3</v>
      </c>
      <c r="C122" s="75" t="s">
        <v>37</v>
      </c>
      <c r="D122" s="32"/>
      <c r="E122" s="32"/>
      <c r="F122" s="32"/>
      <c r="G122" s="32">
        <f t="shared" si="32"/>
        <v>11.46</v>
      </c>
      <c r="H122" s="32">
        <f>ROUND(H114*0.14%,2)</f>
        <v>11.46</v>
      </c>
      <c r="I122" s="52"/>
      <c r="J122" s="53"/>
      <c r="K122" s="36"/>
      <c r="L122" s="26" t="s">
        <v>277</v>
      </c>
    </row>
    <row r="123" s="8" customFormat="1" ht="19.5" customHeight="1" spans="1:251">
      <c r="A123" s="72"/>
      <c r="B123" s="34">
        <v>6</v>
      </c>
      <c r="C123" s="75" t="s">
        <v>278</v>
      </c>
      <c r="D123" s="32"/>
      <c r="E123" s="32"/>
      <c r="F123" s="32"/>
      <c r="G123" s="32">
        <v>3.5</v>
      </c>
      <c r="H123" s="32">
        <v>3.5</v>
      </c>
      <c r="I123" s="52"/>
      <c r="J123" s="53"/>
      <c r="K123" s="36"/>
      <c r="L123" s="26" t="s">
        <v>279</v>
      </c>
    </row>
    <row r="124" s="4" customFormat="1" ht="19.5" customHeight="1" spans="1:251">
      <c r="A124" s="72"/>
      <c r="B124" s="34">
        <v>4</v>
      </c>
      <c r="C124" s="75" t="s">
        <v>39</v>
      </c>
      <c r="D124" s="32"/>
      <c r="E124" s="32"/>
      <c r="F124" s="32"/>
      <c r="G124" s="32">
        <f t="shared" ref="G124:G138" si="33">H124</f>
        <v>25.04</v>
      </c>
      <c r="H124" s="32">
        <f>ROUND(((42-18)/7000*(H114-3000)+18)*0.7,2)</f>
        <v>25.04</v>
      </c>
      <c r="I124" s="52"/>
      <c r="J124" s="53"/>
      <c r="K124" s="36"/>
      <c r="L124" s="26" t="s">
        <v>40</v>
      </c>
    </row>
    <row r="125" s="4" customFormat="1" ht="19.5" customHeight="1" spans="1:251">
      <c r="A125" s="72"/>
      <c r="B125" s="34">
        <v>5</v>
      </c>
      <c r="C125" s="75" t="s">
        <v>41</v>
      </c>
      <c r="D125" s="32"/>
      <c r="E125" s="32"/>
      <c r="F125" s="32"/>
      <c r="G125" s="32">
        <f t="shared" si="33"/>
        <v>90.01</v>
      </c>
      <c r="H125" s="32">
        <f>ROUND(H114*1.1%,2)</f>
        <v>90.01</v>
      </c>
      <c r="I125" s="52"/>
      <c r="J125" s="53"/>
      <c r="K125" s="36"/>
      <c r="L125" s="26" t="s">
        <v>280</v>
      </c>
    </row>
    <row r="126" s="4" customFormat="1" ht="19.5" customHeight="1" spans="1:251">
      <c r="A126" s="72"/>
      <c r="B126" s="34">
        <v>6</v>
      </c>
      <c r="C126" s="75" t="s">
        <v>43</v>
      </c>
      <c r="D126" s="32"/>
      <c r="E126" s="32"/>
      <c r="F126" s="32"/>
      <c r="G126" s="32">
        <f t="shared" si="33"/>
        <v>254.65</v>
      </c>
      <c r="H126" s="32">
        <f>ROUND(((304.8-249.6)/2000*(H114-8000)+249.6),2)</f>
        <v>254.65</v>
      </c>
      <c r="I126" s="52"/>
      <c r="J126" s="53"/>
      <c r="K126" s="36"/>
      <c r="L126" s="26" t="s">
        <v>281</v>
      </c>
    </row>
    <row r="127" s="4" customFormat="1" ht="19.5" customHeight="1" spans="1:251">
      <c r="A127" s="72"/>
      <c r="B127" s="34">
        <v>7</v>
      </c>
      <c r="C127" s="75" t="s">
        <v>45</v>
      </c>
      <c r="D127" s="32"/>
      <c r="E127" s="32"/>
      <c r="F127" s="32"/>
      <c r="G127" s="32">
        <f t="shared" si="33"/>
        <v>10.7</v>
      </c>
      <c r="H127" s="32">
        <f>ROUND(((18-7.5)/17000*(H114-3000)+7.5),2)</f>
        <v>10.7</v>
      </c>
      <c r="I127" s="52"/>
      <c r="J127" s="53"/>
      <c r="K127" s="36"/>
      <c r="L127" s="26" t="s">
        <v>282</v>
      </c>
    </row>
    <row r="128" s="4" customFormat="1" ht="19.5" customHeight="1" spans="1:251">
      <c r="A128" s="72"/>
      <c r="B128" s="34">
        <v>8</v>
      </c>
      <c r="C128" s="75" t="s">
        <v>47</v>
      </c>
      <c r="D128" s="32"/>
      <c r="E128" s="32"/>
      <c r="F128" s="32"/>
      <c r="G128" s="32">
        <f t="shared" si="33"/>
        <v>7.13</v>
      </c>
      <c r="H128" s="32">
        <v>7.13</v>
      </c>
      <c r="I128" s="52"/>
      <c r="J128" s="53"/>
      <c r="K128" s="36"/>
      <c r="L128" s="26" t="s">
        <v>283</v>
      </c>
    </row>
    <row r="129" s="4" customFormat="1" ht="19.5" customHeight="1" spans="1:256">
      <c r="A129" s="72"/>
      <c r="B129" s="34">
        <v>9</v>
      </c>
      <c r="C129" s="75" t="s">
        <v>49</v>
      </c>
      <c r="D129" s="32"/>
      <c r="E129" s="32"/>
      <c r="F129" s="32"/>
      <c r="G129" s="32">
        <f t="shared" si="33"/>
        <v>24.55</v>
      </c>
      <c r="H129" s="32">
        <f>ROUND(H114*0.3%,2)</f>
        <v>24.55</v>
      </c>
      <c r="I129" s="52"/>
      <c r="J129" s="53"/>
      <c r="K129" s="36"/>
      <c r="L129" s="26" t="s">
        <v>284</v>
      </c>
      <c r="IR129" s="5"/>
      <c r="IS129" s="5"/>
      <c r="IT129" s="5"/>
      <c r="IU129" s="5"/>
      <c r="IV129" s="5"/>
    </row>
    <row r="130" s="4" customFormat="1" ht="19.5" customHeight="1" spans="1:256">
      <c r="A130" s="72"/>
      <c r="B130" s="34">
        <v>10</v>
      </c>
      <c r="C130" s="75" t="s">
        <v>51</v>
      </c>
      <c r="D130" s="32"/>
      <c r="E130" s="32"/>
      <c r="F130" s="32"/>
      <c r="G130" s="32">
        <f t="shared" si="33"/>
        <v>81.83</v>
      </c>
      <c r="H130" s="32">
        <f>ROUND(H114*1%,2)</f>
        <v>81.83</v>
      </c>
      <c r="I130" s="52"/>
      <c r="J130" s="53"/>
      <c r="K130" s="36"/>
      <c r="L130" s="26" t="s">
        <v>285</v>
      </c>
      <c r="IR130" s="5"/>
      <c r="IS130" s="5"/>
      <c r="IT130" s="5"/>
      <c r="IU130" s="5"/>
      <c r="IV130" s="5"/>
    </row>
    <row r="131" s="4" customFormat="1" ht="19.5" customHeight="1" spans="1:256">
      <c r="A131" s="72"/>
      <c r="B131" s="34">
        <v>11</v>
      </c>
      <c r="C131" s="75" t="s">
        <v>53</v>
      </c>
      <c r="D131" s="32"/>
      <c r="E131" s="32"/>
      <c r="F131" s="32"/>
      <c r="G131" s="32">
        <f t="shared" si="33"/>
        <v>40.92</v>
      </c>
      <c r="H131" s="32">
        <f>ROUND(H114*0.5%,2)</f>
        <v>40.92</v>
      </c>
      <c r="I131" s="52"/>
      <c r="J131" s="53"/>
      <c r="K131" s="36"/>
      <c r="L131" s="26" t="s">
        <v>286</v>
      </c>
      <c r="IR131" s="5"/>
      <c r="IS131" s="5"/>
      <c r="IT131" s="5"/>
      <c r="IU131" s="5"/>
      <c r="IV131" s="5"/>
    </row>
    <row r="132" s="4" customFormat="1" ht="19.5" customHeight="1" spans="1:256">
      <c r="A132" s="72"/>
      <c r="B132" s="34">
        <v>12</v>
      </c>
      <c r="C132" s="75" t="s">
        <v>54</v>
      </c>
      <c r="D132" s="32"/>
      <c r="E132" s="32"/>
      <c r="F132" s="32"/>
      <c r="G132" s="32">
        <f t="shared" si="33"/>
        <v>26.92</v>
      </c>
      <c r="H132" s="32">
        <f>ROUND(100*1%+400*0.7%+500*0.55%+4000*0.35%+(H114-5000)*0.2%,2)</f>
        <v>26.92</v>
      </c>
      <c r="I132" s="52"/>
      <c r="J132" s="53"/>
      <c r="K132" s="36"/>
      <c r="L132" s="26" t="s">
        <v>287</v>
      </c>
    </row>
    <row r="133" s="4" customFormat="1" ht="19.5" customHeight="1" spans="1:256">
      <c r="A133" s="72"/>
      <c r="B133" s="34">
        <v>13</v>
      </c>
      <c r="C133" s="75" t="s">
        <v>59</v>
      </c>
      <c r="D133" s="32"/>
      <c r="E133" s="32"/>
      <c r="F133" s="32"/>
      <c r="G133" s="32">
        <f t="shared" si="33"/>
        <v>9.54</v>
      </c>
      <c r="H133" s="32">
        <f>ROUND(100*0.17%+400*0.14%+500*0.11%+(5000-1000)*0.08%+(H114-5000)*0.06%+H125*3.5%,2)</f>
        <v>9.54</v>
      </c>
      <c r="I133" s="52"/>
      <c r="J133" s="53"/>
      <c r="K133" s="36"/>
      <c r="L133" s="26" t="s">
        <v>288</v>
      </c>
    </row>
    <row r="134" s="4" customFormat="1" ht="19.5" customHeight="1" spans="1:256">
      <c r="A134" s="72"/>
      <c r="B134" s="34">
        <v>14</v>
      </c>
      <c r="C134" s="75" t="s">
        <v>289</v>
      </c>
      <c r="D134" s="32"/>
      <c r="E134" s="32"/>
      <c r="F134" s="32"/>
      <c r="G134" s="32">
        <f t="shared" si="33"/>
        <v>10</v>
      </c>
      <c r="H134" s="32">
        <v>10</v>
      </c>
      <c r="I134" s="52"/>
      <c r="J134" s="53"/>
      <c r="K134" s="36"/>
      <c r="L134" s="26" t="s">
        <v>61</v>
      </c>
    </row>
    <row r="135" s="4" customFormat="1" ht="19.5" customHeight="1" spans="1:256">
      <c r="A135" s="72"/>
      <c r="B135" s="34">
        <v>15</v>
      </c>
      <c r="C135" s="75" t="s">
        <v>64</v>
      </c>
      <c r="D135" s="32"/>
      <c r="E135" s="32"/>
      <c r="F135" s="32"/>
      <c r="G135" s="32">
        <f t="shared" si="33"/>
        <v>10</v>
      </c>
      <c r="H135" s="32">
        <v>10</v>
      </c>
      <c r="I135" s="52"/>
      <c r="J135" s="53"/>
      <c r="K135" s="36"/>
      <c r="L135" s="26" t="s">
        <v>61</v>
      </c>
    </row>
    <row r="136" s="4" customFormat="1" ht="19.5" customHeight="1" spans="1:256">
      <c r="A136" s="21"/>
      <c r="B136" s="34">
        <v>16</v>
      </c>
      <c r="C136" s="75" t="s">
        <v>73</v>
      </c>
      <c r="D136" s="32"/>
      <c r="E136" s="76"/>
      <c r="F136" s="76"/>
      <c r="G136" s="36">
        <f t="shared" si="33"/>
        <v>124.5</v>
      </c>
      <c r="H136" s="32">
        <v>124.5</v>
      </c>
      <c r="I136" s="52"/>
      <c r="J136" s="53"/>
      <c r="K136" s="37"/>
      <c r="L136" s="37"/>
      <c r="M136" s="4"/>
      <c r="N136" s="4"/>
      <c r="O136" s="4"/>
      <c r="P136" s="4"/>
      <c r="Q136" s="4"/>
      <c r="IR136" s="5"/>
      <c r="IS136" s="5"/>
      <c r="IT136" s="5"/>
      <c r="IU136" s="5"/>
      <c r="IV136" s="5"/>
    </row>
    <row r="137" s="5" customFormat="1" ht="19.5" customHeight="1" spans="1:256">
      <c r="A137" s="21" t="s">
        <v>65</v>
      </c>
      <c r="B137" s="39"/>
      <c r="C137" s="31" t="s">
        <v>290</v>
      </c>
      <c r="D137" s="33">
        <v>0</v>
      </c>
      <c r="E137" s="73">
        <v>0</v>
      </c>
      <c r="F137" s="73">
        <v>0</v>
      </c>
      <c r="G137" s="33">
        <f t="shared" si="33"/>
        <v>460.2955</v>
      </c>
      <c r="H137" s="33">
        <f>H138</f>
        <v>460.2955</v>
      </c>
      <c r="I137" s="28"/>
      <c r="J137" s="77"/>
      <c r="K137" s="37"/>
      <c r="L137" s="37"/>
      <c r="M137" s="4">
        <v>10059</v>
      </c>
    </row>
    <row r="138" s="5" customFormat="1" ht="19.5" customHeight="1" spans="1:256">
      <c r="A138" s="21"/>
      <c r="B138" s="21" t="s">
        <v>67</v>
      </c>
      <c r="C138" s="31" t="s">
        <v>68</v>
      </c>
      <c r="D138" s="32"/>
      <c r="E138" s="73"/>
      <c r="F138" s="73"/>
      <c r="G138" s="32">
        <f t="shared" si="33"/>
        <v>460.2955</v>
      </c>
      <c r="H138" s="32">
        <f>(H114+H115-H136)*5%</f>
        <v>460.2955</v>
      </c>
      <c r="I138" s="28"/>
      <c r="J138" s="77"/>
      <c r="K138" s="37"/>
      <c r="L138" s="37"/>
      <c r="M138" s="4">
        <f>H142-H120</f>
        <v>9649.9955</v>
      </c>
    </row>
    <row r="139" ht="19.5" hidden="1" customHeight="1" spans="1:256">
      <c r="A139" s="21" t="s">
        <v>291</v>
      </c>
      <c r="B139" s="21"/>
      <c r="C139" s="78" t="s">
        <v>73</v>
      </c>
      <c r="D139" s="32"/>
      <c r="E139" s="76"/>
      <c r="F139" s="76"/>
      <c r="G139" s="36"/>
      <c r="H139" s="32"/>
      <c r="I139" s="28"/>
      <c r="J139" s="77"/>
      <c r="K139" s="37"/>
      <c r="L139" s="37"/>
    </row>
    <row r="140" ht="19.5" hidden="1" customHeight="1" spans="1:256">
      <c r="A140" s="21"/>
      <c r="B140" s="21"/>
      <c r="C140" s="79" t="s">
        <v>73</v>
      </c>
      <c r="D140" s="32"/>
      <c r="E140" s="76"/>
      <c r="F140" s="76"/>
      <c r="G140" s="36">
        <f>H140</f>
        <v>0</v>
      </c>
      <c r="H140" s="32"/>
      <c r="I140" s="52"/>
      <c r="J140" s="53"/>
      <c r="K140" s="37"/>
      <c r="L140" s="37"/>
    </row>
    <row r="141" ht="19.5" hidden="1" customHeight="1" spans="1:256">
      <c r="A141" s="21"/>
      <c r="B141" s="21"/>
      <c r="C141" s="80" t="s">
        <v>292</v>
      </c>
      <c r="D141" s="81"/>
      <c r="E141" s="81">
        <f t="shared" ref="E141:G141" si="34">SUM(E140)</f>
        <v>0</v>
      </c>
      <c r="F141" s="81">
        <f t="shared" si="34"/>
        <v>0</v>
      </c>
      <c r="G141" s="81">
        <f t="shared" si="34"/>
        <v>0</v>
      </c>
      <c r="H141" s="82">
        <f>H140</f>
        <v>0</v>
      </c>
      <c r="I141" s="52"/>
      <c r="J141" s="53"/>
      <c r="K141" s="37"/>
      <c r="L141" s="37"/>
    </row>
    <row r="142" ht="19.5" customHeight="1" spans="1:256">
      <c r="A142" s="21" t="s">
        <v>72</v>
      </c>
      <c r="B142" s="39"/>
      <c r="C142" s="31" t="s">
        <v>293</v>
      </c>
      <c r="D142" s="83"/>
      <c r="E142" s="83"/>
      <c r="F142" s="83"/>
      <c r="G142" s="36"/>
      <c r="H142" s="32">
        <f>H114+H115+H137+H141</f>
        <v>9790.7055</v>
      </c>
      <c r="I142" s="84"/>
      <c r="J142" s="35"/>
      <c r="K142" s="85"/>
      <c r="L142" s="37"/>
    </row>
    <row r="143" ht="19.5" customHeight="1" spans="1:256">
      <c r="A143" s="49"/>
      <c r="B143" s="50"/>
      <c r="C143" s="51" t="s">
        <v>74</v>
      </c>
      <c r="D143" s="74">
        <f t="shared" ref="D143:F143" si="35">D114</f>
        <v>7815.91</v>
      </c>
      <c r="E143" s="74">
        <f t="shared" si="35"/>
        <v>319.2</v>
      </c>
      <c r="F143" s="74">
        <f t="shared" si="35"/>
        <v>48</v>
      </c>
      <c r="G143" s="74">
        <f>G115+G137+G140</f>
        <v>1607.5955</v>
      </c>
      <c r="H143" s="74">
        <f>SUM(D143:G143)</f>
        <v>9790.7055</v>
      </c>
      <c r="I143" s="52"/>
      <c r="J143" s="53"/>
      <c r="K143" s="36"/>
      <c r="L143" s="54"/>
    </row>
    <row r="144" s="6" customFormat="1" ht="20.1" customHeight="1" spans="1:256">
      <c r="A144" s="4"/>
      <c r="B144" s="10"/>
      <c r="C144" s="11"/>
      <c r="D144" s="4"/>
      <c r="E144" s="4"/>
      <c r="F144" s="4"/>
      <c r="G144" s="12"/>
      <c r="H144" s="4"/>
      <c r="I144" s="4"/>
      <c r="J144" s="13"/>
      <c r="K144" s="14"/>
      <c r="L144" s="15"/>
    </row>
    <row r="145" ht="20.1" customHeight="1" spans="5:10">
      <c r="I145" s="12"/>
      <c r="J145" s="4"/>
    </row>
    <row r="146" ht="20.1" customHeight="1" spans="5:10">
      <c r="E146" s="4" t="s">
        <v>294</v>
      </c>
      <c r="F146" s="86" t="s">
        <v>295</v>
      </c>
      <c r="G146" s="87">
        <f>H114</f>
        <v>8183.11</v>
      </c>
      <c r="I146" s="87"/>
      <c r="J146" s="4"/>
    </row>
    <row r="147" ht="20.1" customHeight="1" spans="5:10">
      <c r="F147" s="86" t="s">
        <v>110</v>
      </c>
      <c r="G147" s="87">
        <f>H115</f>
        <v>1147.3</v>
      </c>
      <c r="I147" s="87"/>
      <c r="J147" s="4"/>
    </row>
    <row r="148" ht="20.1" customHeight="1" spans="5:10">
      <c r="F148" s="86" t="s">
        <v>66</v>
      </c>
      <c r="G148" s="87">
        <f>H137</f>
        <v>460.2955</v>
      </c>
      <c r="I148" s="87"/>
      <c r="J148" s="4"/>
    </row>
    <row r="149" ht="20.1" customHeight="1" spans="5:10">
      <c r="F149" s="86" t="s">
        <v>73</v>
      </c>
      <c r="G149" s="87"/>
      <c r="I149" s="87"/>
      <c r="J149" s="4"/>
    </row>
    <row r="150" ht="20.1" customHeight="1" spans="5:10">
      <c r="F150" s="86" t="s">
        <v>121</v>
      </c>
      <c r="G150" s="87">
        <f>SUM(G146:G149)</f>
        <v>9790.7055</v>
      </c>
      <c r="I150" s="87"/>
      <c r="J150" s="4"/>
    </row>
    <row r="151" ht="20.1" customHeight="1" spans="5:10">
      <c r="F151" s="88"/>
      <c r="I151" s="12"/>
      <c r="J151" s="4"/>
    </row>
    <row r="152" ht="20.1" customHeight="1" spans="5:10">
      <c r="F152" s="88"/>
      <c r="I152" s="12"/>
      <c r="J152" s="4"/>
    </row>
    <row r="153" ht="20.1" customHeight="1" spans="5:10">
      <c r="I153" s="4">
        <v>6000</v>
      </c>
      <c r="J153" s="13">
        <v>3000</v>
      </c>
    </row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2" ht="25.5" spans="16:17">
      <c r="P162" s="89" t="s">
        <v>296</v>
      </c>
      <c r="Q162" s="90">
        <v>1612.7227</v>
      </c>
    </row>
    <row r="163" ht="25.5" spans="16:17">
      <c r="P163" s="90" t="s">
        <v>22</v>
      </c>
      <c r="Q163" s="90">
        <v>412.729</v>
      </c>
    </row>
    <row r="164" ht="25.5" spans="16:17">
      <c r="P164" s="90" t="s">
        <v>297</v>
      </c>
      <c r="Q164" s="90">
        <v>584.16</v>
      </c>
    </row>
    <row r="165" ht="25.5" spans="16:17">
      <c r="P165" s="90" t="s">
        <v>163</v>
      </c>
      <c r="Q165" s="90">
        <v>45.9</v>
      </c>
    </row>
    <row r="166" ht="25.5" spans="16:17">
      <c r="P166" s="90" t="s">
        <v>174</v>
      </c>
      <c r="Q166" s="90">
        <v>135.65</v>
      </c>
    </row>
    <row r="167" ht="25.5" spans="16:17">
      <c r="P167" s="90" t="s">
        <v>223</v>
      </c>
      <c r="Q167" s="90">
        <v>77.2</v>
      </c>
    </row>
    <row r="168" ht="25.5" spans="16:17">
      <c r="P168" s="90" t="s">
        <v>298</v>
      </c>
      <c r="Q168" s="90">
        <v>67.8045</v>
      </c>
    </row>
    <row r="169" ht="25.5" spans="16:17">
      <c r="P169" s="90" t="s">
        <v>299</v>
      </c>
      <c r="Q169" s="90">
        <v>65.552</v>
      </c>
    </row>
    <row r="170" ht="25.5" spans="16:17">
      <c r="P170" s="90" t="s">
        <v>300</v>
      </c>
      <c r="Q170" s="90">
        <v>28</v>
      </c>
    </row>
    <row r="171" ht="25.5" spans="16:17">
      <c r="P171" s="90" t="s">
        <v>301</v>
      </c>
      <c r="Q171" s="90">
        <v>86.3805</v>
      </c>
    </row>
    <row r="172" ht="25.5" spans="16:17">
      <c r="P172" s="90" t="s">
        <v>30</v>
      </c>
      <c r="Q172" s="90">
        <v>49.165</v>
      </c>
    </row>
    <row r="173" ht="25.5" spans="16:17">
      <c r="P173" s="90" t="s">
        <v>302</v>
      </c>
      <c r="Q173" s="90">
        <f>SUM(Q162:Q172)</f>
        <v>3165.2637</v>
      </c>
    </row>
  </sheetData>
  <mergeCells count="7">
    <mergeCell ref="A1:L1"/>
    <mergeCell ref="D3:H3"/>
    <mergeCell ref="I3:J3"/>
    <mergeCell ref="A3:A4"/>
    <mergeCell ref="C3:C4"/>
    <mergeCell ref="K3:K4"/>
    <mergeCell ref="L3:L4"/>
  </mergeCells>
  <conditionalFormatting sqref="C123">
    <cfRule type="expression" dxfId="2" priority="3" stopIfTrue="1">
      <formula>CELL("address")=ADDRESS(ROW(),COLUMN())</formula>
    </cfRule>
    <cfRule type="cellIs" dxfId="3" priority="4" stopIfTrue="1" operator="equal">
      <formula>0</formula>
    </cfRule>
  </conditionalFormatting>
  <conditionalFormatting sqref="C135">
    <cfRule type="expression" dxfId="0" priority="5" stopIfTrue="1">
      <formula>CELL("address")=ADDRESS(ROW(),COLUMN())</formula>
    </cfRule>
    <cfRule type="cellIs" dxfId="1" priority="6" stopIfTrue="1" operator="equal">
      <formula>0</formula>
    </cfRule>
  </conditionalFormatting>
  <conditionalFormatting sqref="C136">
    <cfRule type="expression" dxfId="0" priority="1" stopIfTrue="1">
      <formula>CELL("address")=ADDRESS(ROW(),COLUMN())</formula>
    </cfRule>
    <cfRule type="cellIs" dxfId="1" priority="2" stopIfTrue="1" operator="equal">
      <formula>0</formula>
    </cfRule>
  </conditionalFormatting>
  <conditionalFormatting sqref="C132:C134">
    <cfRule type="expression" dxfId="0" priority="9" stopIfTrue="1">
      <formula>CELL("address")=ADDRESS(ROW(),COLUMN())</formula>
    </cfRule>
    <cfRule type="cellIs" dxfId="1" priority="10" stopIfTrue="1" operator="equal">
      <formula>0</formula>
    </cfRule>
  </conditionalFormatting>
  <conditionalFormatting sqref="C120:C122 C124:C131">
    <cfRule type="expression" dxfId="0" priority="11" stopIfTrue="1">
      <formula>CELL("address")=ADDRESS(ROW(),COLUMN())</formula>
    </cfRule>
    <cfRule type="cellIs" dxfId="1" priority="12" stopIfTrue="1" operator="equal">
      <formula>0</formula>
    </cfRule>
  </conditionalFormatting>
  <conditionalFormatting sqref="C141:H141 C139:C140">
    <cfRule type="expression" dxfId="0" priority="7" stopIfTrue="1">
      <formula>CELL("address")=ADDRESS(ROW(),COLUMN())</formula>
    </cfRule>
    <cfRule type="cellIs" dxfId="1" priority="8" stopIfTrue="1" operator="equal">
      <formula>0</formula>
    </cfRule>
  </conditionalFormatting>
  <dataValidations count="2">
    <dataValidation type="list" allowBlank="1" showInputMessage="1" showErrorMessage="1" sqref="C120">
      <formula1>"建设单位管理费,项目代建管理费(全阶段),项目代建管理费(前期),项目代建管理费(实施阶段)"</formula1>
    </dataValidation>
    <dataValidation type="list" allowBlank="1" showInputMessage="1" showErrorMessage="1" sqref="C139">
      <formula1>"建设期贷款利息,建设期融资费用"</formula1>
    </dataValidation>
  </dataValidations>
  <pageMargins left="1.64930555555556" right="1.18055555555556" top="0.901388888888889" bottom="0.869444444444444" header="0.629861111111111" footer="0.389583333333333"/>
  <pageSetup paperSize="8" orientation="landscape" useFirstPageNumber="1" errors="NA" horizontalDpi="600" verticalDpi="180"/>
  <headerFooter scaleWithDoc="0">
    <oddHeader>&amp;R&amp;"Times New Roman"
第&amp;P&amp;"宋体"页共&amp;"Times New Roman"&amp;N&amp;"宋体"页</oddHeader>
    <oddFooter>&amp;L                                         
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Macro1</vt:lpstr>
      <vt:lpstr>概算</vt:lpstr>
      <vt:lpstr>其他费用计算表</vt:lpstr>
      <vt:lpstr>表2表3</vt:lpstr>
      <vt:lpstr>市政不打印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刹华</cp:lastModifiedBy>
  <cp:revision>1</cp:revision>
  <dcterms:created xsi:type="dcterms:W3CDTF">2000-06-09T09:51:00Z</dcterms:created>
  <cp:lastPrinted>2017-09-04T09:49:00Z</cp:lastPrinted>
  <dcterms:modified xsi:type="dcterms:W3CDTF">2026-08-31T05:55:30Z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F5C7C4EF95044054AC0C60BCE9516BB9_13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