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概算表" sheetId="13" r:id="rId1"/>
    <sheet name="对比表" sheetId="25" r:id="rId2"/>
    <sheet name="细项" sheetId="27" r:id="rId3"/>
    <sheet name="建安费对比表" sheetId="23" state="hidden" r:id="rId4"/>
  </sheets>
  <definedNames>
    <definedName name="jj" localSheetId="3">#REF!</definedName>
    <definedName name="jj">#REF!</definedName>
    <definedName name="JJJ" localSheetId="3">#REF!</definedName>
    <definedName name="JJJ">#REF!</definedName>
    <definedName name="JJJJJJ" localSheetId="3">#REF!</definedName>
    <definedName name="JJJJJJ">#REF!</definedName>
    <definedName name="jk" localSheetId="3">#REF!</definedName>
    <definedName name="jk">#REF!</definedName>
    <definedName name="kw" localSheetId="3">#REF!</definedName>
    <definedName name="kw">#REF!</definedName>
    <definedName name="kwl" localSheetId="3">#REF!</definedName>
    <definedName name="kwl">#REF!</definedName>
    <definedName name="KWWW" localSheetId="3">#REF!</definedName>
    <definedName name="KWWW">#REF!</definedName>
    <definedName name="KWWWWWW" localSheetId="3">#REF!</definedName>
    <definedName name="KWWWWWW">#REF!</definedName>
    <definedName name="ms" localSheetId="3">#REF!</definedName>
    <definedName name="ms">#REF!</definedName>
    <definedName name="MSSS" localSheetId="3">#REF!</definedName>
    <definedName name="MSSS">#REF!</definedName>
    <definedName name="_xlnm.Print_Area" localSheetId="1">对比表!$A$1:$G$25</definedName>
    <definedName name="_xlnm.Print_Area" localSheetId="0">概算表!$A$1:$J$72</definedName>
    <definedName name="_xlnm.Print_Area" localSheetId="3">建安费对比表!$A$1:$F$18</definedName>
    <definedName name="_xlnm.Print_Titles" localSheetId="0">概算表!$1:$5</definedName>
    <definedName name="_xlnm.Print_Titles" localSheetId="3">建安费对比表!$1:$6</definedName>
    <definedName name="SSSSS" localSheetId="3">#REF!</definedName>
    <definedName name="SSSSS">#REF!</definedName>
    <definedName name="SSSSSSSS" localSheetId="3">#REF!</definedName>
    <definedName name="SSSSSSSS">#REF!</definedName>
    <definedName name="SSSSSSSSSS" localSheetId="3">#REF!</definedName>
    <definedName name="SSSSSSSSSS">#REF!</definedName>
    <definedName name="SSSSSSSSSSS" localSheetId="3">#REF!</definedName>
    <definedName name="SSSSSSSSSSS">#REF!</definedName>
    <definedName name="SSSSSSSSSSSSS" localSheetId="3">#REF!</definedName>
    <definedName name="SSSSSSSSSSSSS">#REF!</definedName>
    <definedName name="SSSSSSSSSSSSSSSSSSS" localSheetId="3">#REF!</definedName>
    <definedName name="SSSSSSSSSSSSSSSSSSS">#REF!</definedName>
    <definedName name="管径" localSheetId="3">#REF!</definedName>
    <definedName name="管径">#REF!</definedName>
    <definedName name="管实长" localSheetId="3">#REF!</definedName>
    <definedName name="管实长">#REF!</definedName>
    <definedName name="管长" localSheetId="3">#REF!</definedName>
    <definedName name="管长">#REF!</definedName>
    <definedName name="井径" localSheetId="3">#REF!</definedName>
    <definedName name="井径">#REF!</definedName>
    <definedName name="开挖量" localSheetId="3">#REF!</definedName>
    <definedName name="开挖量">#REF!</definedName>
    <definedName name="开挖深" localSheetId="3">#REF!</definedName>
    <definedName name="开挖深">#REF!</definedName>
    <definedName name="_xlnm.Print_Area" localSheetId="2">细项!$A$1:$K$74</definedName>
    <definedName name="_xlnm.Print_Titles" localSheetId="2">细项!$1:$5</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<sst xmlns="http://schemas.openxmlformats.org/spreadsheetml/2006/main" count="416" uniqueCount="187">
  <si>
    <t>工程总概算表</t>
  </si>
  <si>
    <t>工程名称：闽江流域中游（福州段）自然生态系统保护与发展示范区建设项目（一期）</t>
  </si>
  <si>
    <t>序 号</t>
  </si>
  <si>
    <t>工程或费用名称</t>
  </si>
  <si>
    <t>概算金额（万元）</t>
  </si>
  <si>
    <t>技术经济指标</t>
  </si>
  <si>
    <t>备注</t>
  </si>
  <si>
    <t>建  筑
工  程</t>
  </si>
  <si>
    <t>安  装
工  程</t>
  </si>
  <si>
    <t>设备工器具
及其他</t>
  </si>
  <si>
    <t>合    计</t>
  </si>
  <si>
    <t>单位</t>
  </si>
  <si>
    <t>数量</t>
  </si>
  <si>
    <t>单位价值
（元）</t>
  </si>
  <si>
    <t>一</t>
  </si>
  <si>
    <t>工程费用</t>
  </si>
  <si>
    <t>1</t>
  </si>
  <si>
    <t>生态治理及修复工程</t>
  </si>
  <si>
    <t>1.1</t>
  </si>
  <si>
    <t>闽江中游生态系统保护与修复示范工程</t>
  </si>
  <si>
    <t>项</t>
  </si>
  <si>
    <t>生态治理及修复</t>
  </si>
  <si>
    <t>hm2</t>
  </si>
  <si>
    <t>雄江流域沿线生态环境整体提升</t>
  </si>
  <si>
    <t>1.2</t>
  </si>
  <si>
    <t>生态教育研学中心</t>
  </si>
  <si>
    <t>土建及景观提升</t>
  </si>
  <si>
    <t>展厅布置（详见报价单）</t>
  </si>
  <si>
    <t>2</t>
  </si>
  <si>
    <t>管护管理能力提升</t>
  </si>
  <si>
    <t>套</t>
  </si>
  <si>
    <t>照明工程</t>
  </si>
  <si>
    <t>监控工程</t>
  </si>
  <si>
    <t>3</t>
  </si>
  <si>
    <t>巡护管理能力提升</t>
  </si>
  <si>
    <t>m2</t>
  </si>
  <si>
    <t>道路工程</t>
  </si>
  <si>
    <t>路基排水工程</t>
  </si>
  <si>
    <t>交通工程</t>
  </si>
  <si>
    <t>m</t>
  </si>
  <si>
    <t>4</t>
  </si>
  <si>
    <t>科研监测体系建设</t>
  </si>
  <si>
    <t>4.1</t>
  </si>
  <si>
    <t>生态监测管理中心</t>
  </si>
  <si>
    <t>黄楮林国家级自然保护区教育馆改造</t>
  </si>
  <si>
    <t>4.2</t>
  </si>
  <si>
    <t>科研监测</t>
  </si>
  <si>
    <t>兰科植物调查采购</t>
  </si>
  <si>
    <t>详见合同</t>
  </si>
  <si>
    <t>珍稀濒危野生动物调查及种群动态研究采购</t>
  </si>
  <si>
    <t>5</t>
  </si>
  <si>
    <t>防灾减灾体系建设</t>
  </si>
  <si>
    <t>森林植物病虫防治检疫站</t>
  </si>
  <si>
    <t>森林植物病虫防治检疫站设备</t>
  </si>
  <si>
    <t>森林植物有害生物防治采购</t>
  </si>
  <si>
    <t>6</t>
  </si>
  <si>
    <t>信息化工程费用</t>
  </si>
  <si>
    <t>6.1</t>
  </si>
  <si>
    <t>生态网络感知系统</t>
  </si>
  <si>
    <t>前端感知系统</t>
  </si>
  <si>
    <t>传输系统</t>
  </si>
  <si>
    <t>信息管理系统</t>
  </si>
  <si>
    <t>软件系统、硬件设施、解说系统等</t>
  </si>
  <si>
    <t>系统集成与培训</t>
  </si>
  <si>
    <t>信息化工程费用*5%</t>
  </si>
  <si>
    <t>6.2</t>
  </si>
  <si>
    <t>巡护步道及护栏修复、提升</t>
  </si>
  <si>
    <t>6.3</t>
  </si>
  <si>
    <t>6.3.1</t>
  </si>
  <si>
    <t>生态监测及管理能力提升</t>
  </si>
  <si>
    <t>科研通用调查设备</t>
  </si>
  <si>
    <t>6.4</t>
  </si>
  <si>
    <t>6.4.1</t>
  </si>
  <si>
    <t>林火防控</t>
  </si>
  <si>
    <t>防火指挥车</t>
  </si>
  <si>
    <t>扑火设备</t>
  </si>
  <si>
    <t>6.4.2</t>
  </si>
  <si>
    <t>救护设备</t>
  </si>
  <si>
    <t>闽江中游生态产品价值实现及机制创新工程</t>
  </si>
  <si>
    <t>生态价值开发提升</t>
  </si>
  <si>
    <t>栈道修复提升工程</t>
  </si>
  <si>
    <t>生态定位站</t>
  </si>
  <si>
    <t>二</t>
  </si>
  <si>
    <t>工程建设其他费用</t>
  </si>
  <si>
    <t>详见工程建设其他费用计算表</t>
  </si>
  <si>
    <t>建设单位管理费</t>
  </si>
  <si>
    <t>财建[2016]504号</t>
  </si>
  <si>
    <t>建设项目前期工作咨询费</t>
  </si>
  <si>
    <t>含建议书、可研编制评估</t>
  </si>
  <si>
    <t>中标价</t>
  </si>
  <si>
    <t>工程勘察费</t>
  </si>
  <si>
    <t>工程测量费</t>
  </si>
  <si>
    <t>工程设计费</t>
  </si>
  <si>
    <t>建设工程监理费</t>
  </si>
  <si>
    <t>施工图审查费</t>
  </si>
  <si>
    <t>按分段费率累计+勘察费*3.5%</t>
  </si>
  <si>
    <t>闽价服[2012]237号</t>
  </si>
  <si>
    <t>招标代理服务费</t>
  </si>
  <si>
    <t>闽招协[2021]32号  6折</t>
  </si>
  <si>
    <t>工程造价咨询服务费</t>
  </si>
  <si>
    <t>结构安全鉴定费</t>
  </si>
  <si>
    <t>闽建质安协检[2023]3号</t>
  </si>
  <si>
    <t>消防安全评估费</t>
  </si>
  <si>
    <t>材料检验试验费</t>
  </si>
  <si>
    <t>闽建筑[2025]2号</t>
  </si>
  <si>
    <t>工程保险费</t>
  </si>
  <si>
    <t>工程费用*0.4%</t>
  </si>
  <si>
    <t>闽建筑[2025]10号</t>
  </si>
  <si>
    <t>劳动安全卫生评审费</t>
  </si>
  <si>
    <t>工程费用*0.2%</t>
  </si>
  <si>
    <t>闽建筑[2007]52号</t>
  </si>
  <si>
    <t>支付担保费</t>
  </si>
  <si>
    <t>工程费用*10%*0.8%</t>
  </si>
  <si>
    <t>闽建筑[2021]21号</t>
  </si>
  <si>
    <t>系统测试与安全测评</t>
  </si>
  <si>
    <t>信息化工程费用*1.5%</t>
  </si>
  <si>
    <t>三</t>
  </si>
  <si>
    <t>基本预备费</t>
  </si>
  <si>
    <t>（一）+(二）*3%</t>
  </si>
  <si>
    <t>四</t>
  </si>
  <si>
    <t>项目总投资  一+二+三</t>
  </si>
  <si>
    <t>可研估算与概算投资对比分析表</t>
  </si>
  <si>
    <t>建设项目名称:闽江流域中游（福州段）自然生态系统保护与发展示范区建设项目（一期）</t>
  </si>
  <si>
    <t>序号</t>
  </si>
  <si>
    <t>工 程 或 费 用 名 称</t>
  </si>
  <si>
    <t>工可估算金额
（万元）</t>
  </si>
  <si>
    <t>概算金额
（万元）</t>
  </si>
  <si>
    <t>增（+）/减（-）</t>
  </si>
  <si>
    <t>增减百分比</t>
  </si>
  <si>
    <t>差异原因</t>
  </si>
  <si>
    <t>生态整治及修复工程建设内容初步设计比原可研内容部分有新增，如巡护道路维护新增了路基排水，交通，桥梁等内容；信息化工程建设内容原可研内容部分与福建雄江黄楮林国家级自然保护区基础设施建设项目有所重复，因此减少网络通讯、软件系统、监控设施等投资规模，以提升资金使用效率，且生态定位站单独列项</t>
  </si>
  <si>
    <t xml:space="preserve"> </t>
  </si>
  <si>
    <t>工可估算时纳入信息化工程，初设概算单独列项</t>
  </si>
  <si>
    <t>建安费用增加引起的增加</t>
  </si>
  <si>
    <t>根据中标价</t>
  </si>
  <si>
    <t>根据相关规定新增</t>
  </si>
  <si>
    <t>11</t>
  </si>
  <si>
    <t>12</t>
  </si>
  <si>
    <t>根据专家意见新增</t>
  </si>
  <si>
    <t>13</t>
  </si>
  <si>
    <t xml:space="preserve">基本预备费 </t>
  </si>
  <si>
    <t>主要差异在于按相关文件规定工可阶段预备费取费大于初设阶段</t>
  </si>
  <si>
    <t xml:space="preserve">项目总投资  </t>
  </si>
  <si>
    <t>工 程 投 资 概 算 表</t>
  </si>
  <si>
    <t>工程号：25030691</t>
  </si>
  <si>
    <t>概  算  金  额   （万元）</t>
  </si>
  <si>
    <t>技 术 经 济 指 标</t>
  </si>
  <si>
    <t>建  筑</t>
  </si>
  <si>
    <t>安  装</t>
  </si>
  <si>
    <t>设备工器</t>
  </si>
  <si>
    <t>其  他</t>
  </si>
  <si>
    <t>数  量</t>
  </si>
  <si>
    <t>单位价值</t>
  </si>
  <si>
    <t>工  程</t>
  </si>
  <si>
    <t>具及其他</t>
  </si>
  <si>
    <t>费  用</t>
  </si>
  <si>
    <t>（元）</t>
  </si>
  <si>
    <t>信息化工程</t>
  </si>
  <si>
    <t xml:space="preserve">工程费用*0.2% </t>
  </si>
  <si>
    <t xml:space="preserve">工程费用*10%*0.8% </t>
  </si>
  <si>
    <t xml:space="preserve">   编制人：________ 复核人：________项目负责人：________  审定人：_________</t>
  </si>
  <si>
    <t>概算与工可对比表</t>
  </si>
  <si>
    <t>工程名称：武夷新区生态食品产业园市政基础设施部分二期工程（第一批）
——大源路、大岭岗路、芹兴路、崇雒路（大岭岗路-芹兴路）</t>
  </si>
  <si>
    <t>工程号：21032008</t>
  </si>
  <si>
    <t>L</t>
  </si>
  <si>
    <t>B</t>
  </si>
  <si>
    <t>指标</t>
  </si>
  <si>
    <t>工程名称</t>
  </si>
  <si>
    <t>概算</t>
  </si>
  <si>
    <t>工可</t>
  </si>
  <si>
    <t>概算金额-工可金额（万元）</t>
  </si>
  <si>
    <t>原因</t>
  </si>
  <si>
    <t>单位指标</t>
  </si>
  <si>
    <t>建安工程费用</t>
  </si>
  <si>
    <t>设计优化</t>
  </si>
  <si>
    <t>其它费用</t>
  </si>
  <si>
    <t>土地报批费增加</t>
  </si>
  <si>
    <t>工可预备费按5%计取，概算按3%计取</t>
  </si>
  <si>
    <t>工程静态投资</t>
  </si>
  <si>
    <t>上述金额增减合计</t>
  </si>
  <si>
    <t>五</t>
  </si>
  <si>
    <t>建设期贷款利息</t>
  </si>
  <si>
    <t>计息基数不一样</t>
  </si>
  <si>
    <t>六</t>
  </si>
  <si>
    <t>工程总投资</t>
  </si>
  <si>
    <t>（四）+（五）</t>
  </si>
  <si>
    <t xml:space="preserve">   编制人：____________ 复核人：____________项目负责人：____________ 审核人：_____________ 审定人：_____________</t>
  </si>
</sst>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Red]\(0.000\)"/>
    <numFmt numFmtId="177" formatCode="0_);[Red]\(0\)"/>
    <numFmt numFmtId="178" formatCode="0.00_);[Red]\(0.00\)"/>
    <numFmt numFmtId="179" formatCode="0.0000_ "/>
    <numFmt numFmtId="180" formatCode="0.000_ "/>
    <numFmt numFmtId="181" formatCode="0.00_ "/>
    <numFmt numFmtId="182" formatCode="0_ "/>
    <numFmt numFmtId="183" formatCode="0.000%"/>
  </numFmts>
  <fonts count="41">
    <font>
      <sz val="10"/>
      <color indexed="8"/>
      <name val="Arial"/>
      <charset val="134"/>
    </font>
    <font>
      <sz val="12"/>
      <color indexed="48"/>
      <name val="宋体"/>
      <charset val="134"/>
    </font>
    <font>
      <sz val="11"/>
      <name val="宋体"/>
      <charset val="134"/>
    </font>
    <font>
      <sz val="12"/>
      <name val="宋体"/>
      <charset val="134"/>
    </font>
    <font>
      <sz val="12"/>
      <color indexed="23"/>
      <name val="宋体"/>
      <charset val="134"/>
    </font>
    <font>
      <b/>
      <sz val="16"/>
      <name val="宋体"/>
      <charset val="134"/>
    </font>
    <font>
      <sz val="10"/>
      <name val="宋体"/>
      <charset val="134"/>
    </font>
    <font>
      <b/>
      <sz val="12"/>
      <name val="宋体"/>
      <charset val="134"/>
      <scheme val="minor"/>
    </font>
    <font>
      <b/>
      <sz val="12"/>
      <name val="宋体"/>
      <charset val="134"/>
    </font>
    <font>
      <b/>
      <sz val="14"/>
      <name val="宋体"/>
      <charset val="134"/>
    </font>
    <font>
      <b/>
      <i/>
      <sz val="11"/>
      <name val="宋体"/>
      <charset val="134"/>
    </font>
    <font>
      <b/>
      <sz val="11"/>
      <name val="宋体"/>
      <charset val="134"/>
    </font>
    <font>
      <i/>
      <sz val="11"/>
      <name val="宋体"/>
      <charset val="134"/>
    </font>
    <font>
      <sz val="11"/>
      <color indexed="8"/>
      <name val="宋体"/>
      <charset val="134"/>
    </font>
    <font>
      <sz val="11"/>
      <color rgb="FFFF0000"/>
      <name val="宋体"/>
      <charset val="134"/>
    </font>
    <font>
      <b/>
      <sz val="11"/>
      <color rgb="FFFF0000"/>
      <name val="宋体"/>
      <charset val="134"/>
    </font>
    <font>
      <sz val="11"/>
      <color theme="1"/>
      <name val="宋体"/>
      <charset val="134"/>
    </font>
    <font>
      <b/>
      <i/>
      <sz val="11"/>
      <name val="宋体"/>
      <charset val="134"/>
      <scheme val="minor"/>
    </font>
    <font>
      <b/>
      <sz val="11"/>
      <name val="宋体"/>
      <charset val="134"/>
      <scheme val="minor"/>
    </font>
    <font>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Courier"/>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thin">
        <color auto="1"/>
      </top>
      <bottom style="thin">
        <color auto="1"/>
      </bottom>
      <diagonal/>
    </border>
    <border>
      <left/>
      <right style="thin">
        <color auto="1"/>
      </right>
      <top style="medium">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3" borderId="18"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9" applyNumberFormat="0" applyFill="0" applyAlignment="0" applyProtection="0">
      <alignment vertical="center"/>
    </xf>
    <xf numFmtId="0" fontId="27" fillId="0" borderId="19" applyNumberFormat="0" applyFill="0" applyAlignment="0" applyProtection="0">
      <alignment vertical="center"/>
    </xf>
    <xf numFmtId="0" fontId="28" fillId="0" borderId="20" applyNumberFormat="0" applyFill="0" applyAlignment="0" applyProtection="0">
      <alignment vertical="center"/>
    </xf>
    <xf numFmtId="0" fontId="28" fillId="0" borderId="0" applyNumberFormat="0" applyFill="0" applyBorder="0" applyAlignment="0" applyProtection="0">
      <alignment vertical="center"/>
    </xf>
    <xf numFmtId="0" fontId="29" fillId="4" borderId="21" applyNumberFormat="0" applyAlignment="0" applyProtection="0">
      <alignment vertical="center"/>
    </xf>
    <xf numFmtId="0" fontId="30" fillId="5" borderId="22" applyNumberFormat="0" applyAlignment="0" applyProtection="0">
      <alignment vertical="center"/>
    </xf>
    <xf numFmtId="0" fontId="31" fillId="5" borderId="21" applyNumberFormat="0" applyAlignment="0" applyProtection="0">
      <alignment vertical="center"/>
    </xf>
    <xf numFmtId="0" fontId="32" fillId="6" borderId="23" applyNumberFormat="0" applyAlignment="0" applyProtection="0">
      <alignment vertical="center"/>
    </xf>
    <xf numFmtId="0" fontId="33" fillId="0" borderId="24" applyNumberFormat="0" applyFill="0" applyAlignment="0" applyProtection="0">
      <alignment vertical="center"/>
    </xf>
    <xf numFmtId="0" fontId="34" fillId="0" borderId="25"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0" fillId="0" borderId="0"/>
    <xf numFmtId="2" fontId="40" fillId="0" borderId="0"/>
    <xf numFmtId="0" fontId="3" fillId="0" borderId="0"/>
  </cellStyleXfs>
  <cellXfs count="166">
    <xf numFmtId="0" fontId="0" fillId="0" borderId="0" xfId="0"/>
    <xf numFmtId="0" fontId="1" fillId="0" borderId="0" xfId="53" applyFont="1"/>
    <xf numFmtId="2" fontId="2" fillId="0" borderId="0" xfId="56" applyFont="1" applyAlignment="1">
      <alignment vertical="center"/>
    </xf>
    <xf numFmtId="0" fontId="1" fillId="0" borderId="0" xfId="53" applyFont="1" applyAlignment="1">
      <alignment vertical="center"/>
    </xf>
    <xf numFmtId="0" fontId="3" fillId="0" borderId="0" xfId="0" applyFont="1" applyAlignment="1">
      <alignment vertical="center"/>
    </xf>
    <xf numFmtId="0" fontId="4" fillId="0" borderId="0" xfId="53" applyFont="1"/>
    <xf numFmtId="176" fontId="4" fillId="0" borderId="0" xfId="53" applyNumberFormat="1" applyFont="1"/>
    <xf numFmtId="0" fontId="5" fillId="0" borderId="0" xfId="53" applyFont="1" applyAlignment="1">
      <alignment horizontal="center" vertical="center"/>
    </xf>
    <xf numFmtId="0" fontId="3" fillId="0" borderId="0" xfId="53" applyAlignment="1">
      <alignment vertical="center"/>
    </xf>
    <xf numFmtId="0" fontId="2" fillId="0" borderId="0" xfId="53" applyFont="1" applyAlignment="1">
      <alignment vertical="center"/>
    </xf>
    <xf numFmtId="177" fontId="2" fillId="0" borderId="0" xfId="56" applyNumberFormat="1" applyFont="1" applyAlignment="1">
      <alignment vertical="center"/>
    </xf>
    <xf numFmtId="178" fontId="2" fillId="0" borderId="0" xfId="56" applyNumberFormat="1" applyFont="1" applyAlignment="1">
      <alignment horizontal="right" vertical="center"/>
    </xf>
    <xf numFmtId="0" fontId="6" fillId="0" borderId="0" xfId="53" applyFont="1" applyAlignment="1">
      <alignment horizontal="right" vertical="center"/>
    </xf>
    <xf numFmtId="0" fontId="3" fillId="0" borderId="1" xfId="54" applyBorder="1" applyAlignment="1">
      <alignment horizontal="center" vertical="center"/>
    </xf>
    <xf numFmtId="0" fontId="3" fillId="0" borderId="2" xfId="54" applyBorder="1" applyAlignment="1">
      <alignment horizontal="center" vertical="center"/>
    </xf>
    <xf numFmtId="177" fontId="3" fillId="0" borderId="2" xfId="54" applyNumberFormat="1" applyBorder="1" applyAlignment="1">
      <alignment horizontal="center" vertical="center"/>
    </xf>
    <xf numFmtId="177" fontId="3" fillId="0" borderId="2" xfId="54" applyNumberFormat="1" applyBorder="1" applyAlignment="1">
      <alignment horizontal="center" vertical="center" wrapText="1"/>
    </xf>
    <xf numFmtId="0" fontId="3" fillId="0" borderId="3" xfId="54" applyBorder="1" applyAlignment="1">
      <alignment horizontal="center" vertical="center"/>
    </xf>
    <xf numFmtId="0" fontId="1" fillId="0" borderId="0" xfId="53" applyFont="1" applyAlignment="1">
      <alignment horizontal="center"/>
    </xf>
    <xf numFmtId="0" fontId="3" fillId="0" borderId="4" xfId="54" applyBorder="1" applyAlignment="1">
      <alignment horizontal="center" vertical="center"/>
    </xf>
    <xf numFmtId="0" fontId="3" fillId="0" borderId="5" xfId="54" applyBorder="1" applyAlignment="1">
      <alignment horizontal="center" vertical="center"/>
    </xf>
    <xf numFmtId="177" fontId="3" fillId="0" borderId="5" xfId="54" applyNumberFormat="1" applyBorder="1" applyAlignment="1">
      <alignment horizontal="center" vertical="center"/>
    </xf>
    <xf numFmtId="177" fontId="3" fillId="0" borderId="5" xfId="54" applyNumberFormat="1" applyBorder="1" applyAlignment="1">
      <alignment horizontal="center" vertical="center" wrapText="1"/>
    </xf>
    <xf numFmtId="0" fontId="3" fillId="0" borderId="6" xfId="54" applyBorder="1" applyAlignment="1">
      <alignment horizontal="center" vertical="center"/>
    </xf>
    <xf numFmtId="0" fontId="3" fillId="0" borderId="7" xfId="54" applyBorder="1" applyAlignment="1">
      <alignment horizontal="center" vertical="center"/>
    </xf>
    <xf numFmtId="0" fontId="3" fillId="0" borderId="8" xfId="54" applyBorder="1" applyAlignment="1">
      <alignment horizontal="center" vertical="center"/>
    </xf>
    <xf numFmtId="177" fontId="3" fillId="0" borderId="8" xfId="54" applyNumberFormat="1" applyBorder="1" applyAlignment="1">
      <alignment horizontal="center" vertical="center"/>
    </xf>
    <xf numFmtId="0" fontId="3" fillId="0" borderId="9" xfId="54" applyBorder="1" applyAlignment="1">
      <alignment horizontal="center" vertical="center"/>
    </xf>
    <xf numFmtId="0" fontId="3" fillId="0" borderId="10" xfId="54" applyBorder="1" applyAlignment="1">
      <alignment horizontal="center" vertical="center"/>
    </xf>
    <xf numFmtId="177" fontId="3" fillId="0" borderId="10" xfId="54" applyNumberFormat="1" applyBorder="1" applyAlignment="1">
      <alignment horizontal="center" vertical="center" wrapText="1"/>
    </xf>
    <xf numFmtId="0" fontId="3" fillId="0" borderId="10" xfId="54" applyBorder="1" applyAlignment="1">
      <alignment horizontal="center" vertical="center" wrapText="1"/>
    </xf>
    <xf numFmtId="177" fontId="3" fillId="0" borderId="11" xfId="54" applyNumberFormat="1" applyBorder="1" applyAlignment="1">
      <alignment horizontal="center" vertical="center" wrapText="1"/>
    </xf>
    <xf numFmtId="179" fontId="3" fillId="0" borderId="10" xfId="54" applyNumberFormat="1" applyBorder="1" applyAlignment="1">
      <alignment horizontal="center" vertical="center"/>
    </xf>
    <xf numFmtId="180" fontId="3" fillId="0" borderId="10" xfId="54" applyNumberFormat="1" applyBorder="1" applyAlignment="1">
      <alignment horizontal="center" vertical="center"/>
    </xf>
    <xf numFmtId="0" fontId="3" fillId="0" borderId="10" xfId="53" applyBorder="1" applyAlignment="1">
      <alignment horizontal="center" vertical="center"/>
    </xf>
    <xf numFmtId="0" fontId="3" fillId="0" borderId="10" xfId="53" applyBorder="1" applyAlignment="1">
      <alignment vertical="center"/>
    </xf>
    <xf numFmtId="181" fontId="7" fillId="0" borderId="10" xfId="53" applyNumberFormat="1" applyFont="1" applyBorder="1" applyAlignment="1">
      <alignment horizontal="center" vertical="center"/>
    </xf>
    <xf numFmtId="181" fontId="3" fillId="0" borderId="10" xfId="53" applyNumberFormat="1" applyBorder="1" applyAlignment="1">
      <alignment horizontal="center" vertical="center" wrapText="1"/>
    </xf>
    <xf numFmtId="181" fontId="1" fillId="0" borderId="0" xfId="53" applyNumberFormat="1" applyFont="1" applyAlignment="1">
      <alignment horizontal="center" vertical="center"/>
    </xf>
    <xf numFmtId="181" fontId="1" fillId="0" borderId="0" xfId="53" applyNumberFormat="1" applyFont="1" applyAlignment="1">
      <alignment horizontal="center"/>
    </xf>
    <xf numFmtId="0" fontId="3" fillId="0" borderId="10" xfId="0" applyFont="1" applyBorder="1" applyAlignment="1">
      <alignment horizontal="center" vertical="center"/>
    </xf>
    <xf numFmtId="0" fontId="3" fillId="0" borderId="10" xfId="0" applyFont="1" applyBorder="1" applyAlignment="1">
      <alignment vertical="center"/>
    </xf>
    <xf numFmtId="0" fontId="3" fillId="0" borderId="10" xfId="0" applyFont="1" applyBorder="1" applyAlignment="1">
      <alignment horizontal="center" vertical="center" wrapText="1"/>
    </xf>
    <xf numFmtId="0" fontId="3" fillId="0" borderId="10" xfId="51" applyBorder="1" applyAlignment="1">
      <alignment horizontal="center" vertical="center"/>
    </xf>
    <xf numFmtId="0" fontId="3" fillId="0" borderId="10" xfId="51" applyBorder="1" applyAlignment="1">
      <alignment vertical="center"/>
    </xf>
    <xf numFmtId="178" fontId="8" fillId="0" borderId="10" xfId="51" applyNumberFormat="1" applyFont="1" applyBorder="1" applyAlignment="1">
      <alignment horizontal="center" vertical="center"/>
    </xf>
    <xf numFmtId="178" fontId="3" fillId="0" borderId="0" xfId="0" applyNumberFormat="1" applyFont="1" applyAlignment="1">
      <alignment vertical="center"/>
    </xf>
    <xf numFmtId="0" fontId="3" fillId="0" borderId="10" xfId="57" applyBorder="1" applyAlignment="1">
      <alignment horizontal="center" vertical="center"/>
    </xf>
    <xf numFmtId="2" fontId="8" fillId="0" borderId="10" xfId="51" applyNumberFormat="1" applyFont="1" applyBorder="1" applyAlignment="1">
      <alignment horizontal="center" vertical="center"/>
    </xf>
    <xf numFmtId="0" fontId="3" fillId="0" borderId="10" xfId="0" applyFont="1" applyBorder="1" applyAlignment="1">
      <alignment vertical="center" wrapText="1"/>
    </xf>
    <xf numFmtId="0" fontId="3" fillId="0" borderId="0" xfId="50" applyAlignment="1">
      <alignment horizontal="center"/>
    </xf>
    <xf numFmtId="177" fontId="4" fillId="0" borderId="0" xfId="53" applyNumberFormat="1" applyFont="1"/>
    <xf numFmtId="0" fontId="4" fillId="0" borderId="0" xfId="53" applyFont="1" applyAlignment="1">
      <alignment vertical="center"/>
    </xf>
    <xf numFmtId="2" fontId="9" fillId="0" borderId="0" xfId="56" applyFont="1" applyFill="1" applyAlignment="1">
      <alignment vertical="center"/>
    </xf>
    <xf numFmtId="2" fontId="3" fillId="0" borderId="0" xfId="56" applyFont="1" applyFill="1" applyAlignment="1">
      <alignment vertical="center"/>
    </xf>
    <xf numFmtId="49" fontId="2" fillId="0" borderId="0" xfId="56" applyNumberFormat="1" applyFont="1" applyFill="1" applyAlignment="1">
      <alignment horizontal="center" vertical="center"/>
    </xf>
    <xf numFmtId="2" fontId="2" fillId="0" borderId="0" xfId="56" applyFont="1" applyFill="1" applyAlignment="1">
      <alignment vertical="center"/>
    </xf>
    <xf numFmtId="177" fontId="2" fillId="0" borderId="0" xfId="56" applyNumberFormat="1" applyFont="1" applyFill="1" applyAlignment="1">
      <alignment vertical="center"/>
    </xf>
    <xf numFmtId="178" fontId="2" fillId="0" borderId="0" xfId="56" applyNumberFormat="1" applyFont="1" applyFill="1" applyAlignment="1">
      <alignment vertical="center"/>
    </xf>
    <xf numFmtId="2" fontId="9" fillId="0" borderId="0" xfId="56" applyFont="1" applyFill="1" applyAlignment="1">
      <alignment horizontal="center" vertical="center"/>
    </xf>
    <xf numFmtId="0" fontId="2" fillId="0" borderId="0" xfId="53" applyFont="1" applyFill="1" applyAlignment="1">
      <alignment vertical="center"/>
    </xf>
    <xf numFmtId="178" fontId="2" fillId="0" borderId="0" xfId="56" applyNumberFormat="1" applyFont="1" applyFill="1" applyAlignment="1">
      <alignment horizontal="right" vertical="center"/>
    </xf>
    <xf numFmtId="0" fontId="2" fillId="0" borderId="0" xfId="53" applyFont="1" applyFill="1" applyAlignment="1">
      <alignment horizontal="right" vertical="center"/>
    </xf>
    <xf numFmtId="49" fontId="2" fillId="0" borderId="10" xfId="56" applyNumberFormat="1" applyFont="1" applyFill="1" applyBorder="1" applyAlignment="1">
      <alignment horizontal="center" vertical="center" textRotation="255"/>
    </xf>
    <xf numFmtId="2" fontId="2" fillId="0" borderId="10" xfId="56" applyFont="1" applyFill="1" applyBorder="1" applyAlignment="1">
      <alignment horizontal="center" vertical="center"/>
    </xf>
    <xf numFmtId="2" fontId="2" fillId="0" borderId="10" xfId="56" applyFont="1" applyFill="1" applyBorder="1" applyAlignment="1">
      <alignment vertical="center"/>
    </xf>
    <xf numFmtId="177" fontId="2" fillId="0" borderId="10" xfId="56" applyNumberFormat="1" applyFont="1" applyFill="1" applyBorder="1" applyAlignment="1">
      <alignment horizontal="center" vertical="center"/>
    </xf>
    <xf numFmtId="178" fontId="2" fillId="0" borderId="10" xfId="56" applyNumberFormat="1" applyFont="1" applyFill="1" applyBorder="1" applyAlignment="1">
      <alignment horizontal="center" vertical="center"/>
    </xf>
    <xf numFmtId="49" fontId="10" fillId="0" borderId="10" xfId="56" applyNumberFormat="1" applyFont="1" applyFill="1" applyBorder="1" applyAlignment="1">
      <alignment horizontal="center" vertical="center"/>
    </xf>
    <xf numFmtId="2" fontId="11" fillId="0" borderId="10" xfId="56" applyFont="1" applyFill="1" applyBorder="1" applyAlignment="1">
      <alignment horizontal="left" vertical="center"/>
    </xf>
    <xf numFmtId="2" fontId="11" fillId="0" borderId="10" xfId="56" applyFont="1" applyFill="1" applyBorder="1" applyAlignment="1">
      <alignment horizontal="center" vertical="center"/>
    </xf>
    <xf numFmtId="181" fontId="11" fillId="0" borderId="10" xfId="56" applyNumberFormat="1" applyFont="1" applyFill="1" applyBorder="1" applyAlignment="1">
      <alignment horizontal="center" vertical="center"/>
    </xf>
    <xf numFmtId="176" fontId="2" fillId="0" borderId="10" xfId="56" applyNumberFormat="1" applyFont="1" applyFill="1" applyBorder="1" applyAlignment="1">
      <alignment horizontal="center" vertical="center"/>
    </xf>
    <xf numFmtId="49" fontId="2" fillId="0" borderId="10" xfId="56" applyNumberFormat="1" applyFont="1" applyFill="1" applyBorder="1" applyAlignment="1">
      <alignment horizontal="center" vertical="center"/>
    </xf>
    <xf numFmtId="2" fontId="10" fillId="0" borderId="10" xfId="56" applyFont="1" applyFill="1" applyBorder="1" applyAlignment="1">
      <alignment vertical="center"/>
    </xf>
    <xf numFmtId="2" fontId="11" fillId="0" borderId="10" xfId="56" applyFont="1" applyFill="1" applyBorder="1" applyAlignment="1">
      <alignment vertical="center"/>
    </xf>
    <xf numFmtId="176" fontId="11" fillId="0" borderId="10" xfId="56" applyNumberFormat="1" applyFont="1" applyFill="1" applyBorder="1" applyAlignment="1">
      <alignment horizontal="center" vertical="center"/>
    </xf>
    <xf numFmtId="178" fontId="11" fillId="0" borderId="10" xfId="56" applyNumberFormat="1" applyFont="1" applyFill="1" applyBorder="1" applyAlignment="1">
      <alignment horizontal="center" vertical="center"/>
    </xf>
    <xf numFmtId="2" fontId="2" fillId="0" borderId="10" xfId="56" applyFont="1" applyFill="1" applyBorder="1" applyAlignment="1">
      <alignment horizontal="left" vertical="center"/>
    </xf>
    <xf numFmtId="2" fontId="12" fillId="0" borderId="10" xfId="56" applyFont="1" applyFill="1" applyBorder="1" applyAlignment="1">
      <alignment vertical="center"/>
    </xf>
    <xf numFmtId="181" fontId="2" fillId="0" borderId="10" xfId="56" applyNumberFormat="1" applyFont="1" applyFill="1" applyBorder="1" applyAlignment="1">
      <alignment horizontal="center" vertical="center"/>
    </xf>
    <xf numFmtId="182" fontId="2" fillId="0" borderId="10" xfId="56" applyNumberFormat="1" applyFont="1" applyFill="1" applyBorder="1" applyAlignment="1">
      <alignment horizontal="center" vertical="center"/>
    </xf>
    <xf numFmtId="2" fontId="2" fillId="0" borderId="10" xfId="56" applyFont="1" applyFill="1" applyBorder="1" applyAlignment="1">
      <alignment horizontal="right" vertical="center"/>
    </xf>
    <xf numFmtId="181" fontId="2" fillId="0" borderId="10" xfId="56" applyNumberFormat="1" applyFont="1" applyFill="1" applyBorder="1" applyAlignment="1">
      <alignment horizontal="right" vertical="center"/>
    </xf>
    <xf numFmtId="49" fontId="2" fillId="0" borderId="10" xfId="55" applyNumberFormat="1" applyFont="1" applyFill="1" applyBorder="1" applyAlignment="1">
      <alignment horizontal="right" vertical="center" wrapText="1"/>
    </xf>
    <xf numFmtId="0" fontId="13" fillId="0" borderId="10" xfId="0" applyFont="1" applyFill="1" applyBorder="1" applyAlignment="1">
      <alignment horizontal="left" vertical="center" wrapText="1"/>
    </xf>
    <xf numFmtId="2" fontId="2" fillId="0" borderId="10" xfId="55" applyNumberFormat="1" applyFont="1" applyFill="1" applyBorder="1" applyAlignment="1">
      <alignment vertical="center" wrapText="1" shrinkToFit="1"/>
    </xf>
    <xf numFmtId="2" fontId="14" fillId="0" borderId="10" xfId="56" applyFont="1" applyFill="1" applyBorder="1" applyAlignment="1">
      <alignment vertical="center"/>
    </xf>
    <xf numFmtId="2" fontId="3" fillId="0" borderId="10" xfId="56" applyFont="1" applyFill="1" applyBorder="1" applyAlignment="1">
      <alignment vertical="center"/>
    </xf>
    <xf numFmtId="2" fontId="2" fillId="0" borderId="10" xfId="55" applyNumberFormat="1" applyFont="1" applyFill="1" applyBorder="1" applyAlignment="1">
      <alignment horizontal="right" vertical="center" wrapText="1" shrinkToFit="1"/>
    </xf>
    <xf numFmtId="9" fontId="2" fillId="0" borderId="10" xfId="51" applyNumberFormat="1" applyFont="1" applyFill="1" applyBorder="1" applyAlignment="1">
      <alignment horizontal="center" vertical="center"/>
    </xf>
    <xf numFmtId="0" fontId="2" fillId="0" borderId="10" xfId="51" applyNumberFormat="1" applyFont="1" applyFill="1" applyBorder="1" applyAlignment="1" applyProtection="1">
      <alignment horizontal="center" vertical="center"/>
    </xf>
    <xf numFmtId="2" fontId="11" fillId="0" borderId="10" xfId="0" applyNumberFormat="1" applyFont="1" applyFill="1" applyBorder="1" applyAlignment="1">
      <alignment horizontal="center" vertical="center"/>
    </xf>
    <xf numFmtId="49" fontId="11" fillId="0" borderId="10" xfId="56" applyNumberFormat="1" applyFont="1" applyFill="1" applyBorder="1" applyAlignment="1">
      <alignment horizontal="center" vertical="center"/>
    </xf>
    <xf numFmtId="2" fontId="2" fillId="0" borderId="10" xfId="0" applyNumberFormat="1" applyFont="1" applyFill="1" applyBorder="1" applyAlignment="1">
      <alignment horizontal="center" vertical="center"/>
    </xf>
    <xf numFmtId="2" fontId="2" fillId="0" borderId="10" xfId="56" applyFont="1" applyFill="1" applyBorder="1" applyAlignment="1">
      <alignment horizontal="center" vertical="center" wrapText="1"/>
    </xf>
    <xf numFmtId="49" fontId="2" fillId="0" borderId="10" xfId="56" applyNumberFormat="1" applyFont="1" applyFill="1" applyBorder="1" applyAlignment="1">
      <alignment horizontal="left" vertical="center"/>
    </xf>
    <xf numFmtId="2" fontId="11" fillId="0" borderId="10" xfId="55" applyNumberFormat="1" applyFont="1" applyFill="1" applyBorder="1" applyAlignment="1">
      <alignment vertical="center" wrapText="1" shrinkToFit="1"/>
    </xf>
    <xf numFmtId="2" fontId="15" fillId="0" borderId="10" xfId="56" applyFont="1" applyFill="1" applyBorder="1" applyAlignment="1">
      <alignment vertical="center"/>
    </xf>
    <xf numFmtId="2" fontId="11" fillId="0" borderId="12" xfId="56" applyFont="1" applyFill="1" applyBorder="1" applyAlignment="1">
      <alignment horizontal="center" vertical="center"/>
    </xf>
    <xf numFmtId="9" fontId="2" fillId="0" borderId="13" xfId="51" applyNumberFormat="1" applyFont="1" applyFill="1" applyBorder="1" applyAlignment="1">
      <alignment horizontal="center" vertical="center"/>
    </xf>
    <xf numFmtId="9" fontId="2" fillId="0" borderId="14" xfId="51" applyNumberFormat="1" applyFont="1" applyFill="1" applyBorder="1" applyAlignment="1">
      <alignment horizontal="center" vertical="center"/>
    </xf>
    <xf numFmtId="9" fontId="2" fillId="0" borderId="12" xfId="51" applyNumberFormat="1" applyFont="1" applyFill="1" applyBorder="1" applyAlignment="1">
      <alignment horizontal="center" vertical="center"/>
    </xf>
    <xf numFmtId="2" fontId="11" fillId="0" borderId="13" xfId="56" applyFont="1" applyFill="1" applyBorder="1" applyAlignment="1">
      <alignment horizontal="center" vertical="center"/>
    </xf>
    <xf numFmtId="2" fontId="11" fillId="0" borderId="14" xfId="56" applyFont="1" applyFill="1" applyBorder="1" applyAlignment="1">
      <alignment horizontal="center" vertical="center"/>
    </xf>
    <xf numFmtId="2" fontId="11" fillId="0" borderId="15" xfId="56" applyFont="1" applyFill="1" applyBorder="1" applyAlignment="1">
      <alignment horizontal="center" vertical="center"/>
    </xf>
    <xf numFmtId="2" fontId="2" fillId="0" borderId="10" xfId="56" applyFont="1" applyFill="1" applyBorder="1" applyAlignment="1">
      <alignment horizontal="left" vertical="center" wrapText="1"/>
    </xf>
    <xf numFmtId="2" fontId="2" fillId="0" borderId="13" xfId="56" applyFont="1" applyFill="1" applyBorder="1" applyAlignment="1">
      <alignment horizontal="center" vertical="center"/>
    </xf>
    <xf numFmtId="2" fontId="2" fillId="0" borderId="14" xfId="56" applyFont="1" applyFill="1" applyBorder="1" applyAlignment="1">
      <alignment horizontal="center" vertical="center"/>
    </xf>
    <xf numFmtId="2" fontId="2" fillId="0" borderId="15" xfId="56" applyFont="1" applyFill="1" applyBorder="1" applyAlignment="1">
      <alignment horizontal="center" vertical="center"/>
    </xf>
    <xf numFmtId="2" fontId="16" fillId="0" borderId="10" xfId="56" applyFont="1" applyFill="1" applyBorder="1" applyAlignment="1">
      <alignment horizontal="left" vertical="center" wrapText="1"/>
    </xf>
    <xf numFmtId="0" fontId="2" fillId="0" borderId="10" xfId="52" applyFont="1" applyFill="1" applyBorder="1" applyAlignment="1">
      <alignment vertical="center" wrapText="1"/>
    </xf>
    <xf numFmtId="0" fontId="11" fillId="0" borderId="10" xfId="51" applyFont="1" applyFill="1" applyBorder="1" applyAlignment="1">
      <alignment horizontal="center" vertical="center"/>
    </xf>
    <xf numFmtId="0" fontId="11" fillId="0" borderId="10" xfId="51" applyFont="1" applyFill="1" applyBorder="1" applyAlignment="1">
      <alignment vertical="center"/>
    </xf>
    <xf numFmtId="9" fontId="11" fillId="0" borderId="10" xfId="51" applyNumberFormat="1" applyFont="1" applyFill="1" applyBorder="1" applyAlignment="1">
      <alignment horizontal="center" vertical="center"/>
    </xf>
    <xf numFmtId="2" fontId="11" fillId="0" borderId="10" xfId="51" applyNumberFormat="1" applyFont="1" applyFill="1" applyBorder="1" applyAlignment="1">
      <alignment horizontal="center" vertical="center"/>
    </xf>
    <xf numFmtId="0" fontId="11" fillId="0" borderId="10" xfId="57" applyFont="1" applyFill="1" applyBorder="1" applyAlignment="1">
      <alignment horizontal="center" vertical="center"/>
    </xf>
    <xf numFmtId="0" fontId="2" fillId="0" borderId="0" xfId="57" applyFont="1" applyFill="1" applyBorder="1" applyAlignment="1">
      <alignment horizontal="center" vertical="center"/>
    </xf>
    <xf numFmtId="2" fontId="9" fillId="2" borderId="0" xfId="56" applyFont="1" applyFill="1" applyAlignment="1">
      <alignment vertical="center"/>
    </xf>
    <xf numFmtId="2" fontId="3" fillId="2" borderId="0" xfId="56" applyFont="1" applyFill="1" applyAlignment="1">
      <alignment vertical="center"/>
    </xf>
    <xf numFmtId="49" fontId="2" fillId="2" borderId="0" xfId="56" applyNumberFormat="1" applyFont="1" applyFill="1" applyAlignment="1">
      <alignment horizontal="center" vertical="center"/>
    </xf>
    <xf numFmtId="2" fontId="2" fillId="2" borderId="0" xfId="56" applyFont="1" applyFill="1" applyAlignment="1">
      <alignment vertical="center"/>
    </xf>
    <xf numFmtId="2" fontId="2" fillId="2" borderId="0" xfId="56" applyNumberFormat="1" applyFont="1" applyFill="1" applyAlignment="1">
      <alignment vertical="center"/>
    </xf>
    <xf numFmtId="178" fontId="2" fillId="2" borderId="0" xfId="56" applyNumberFormat="1" applyFont="1" applyFill="1" applyAlignment="1">
      <alignment vertical="center"/>
    </xf>
    <xf numFmtId="10" fontId="2" fillId="2" borderId="0" xfId="56" applyNumberFormat="1" applyFont="1" applyFill="1" applyAlignment="1">
      <alignment vertical="center"/>
    </xf>
    <xf numFmtId="2" fontId="9" fillId="2" borderId="0" xfId="56" applyFont="1" applyFill="1" applyAlignment="1" applyProtection="1">
      <alignment horizontal="center" vertical="center"/>
    </xf>
    <xf numFmtId="2" fontId="2" fillId="0" borderId="0" xfId="56" applyFont="1" applyFill="1" applyBorder="1" applyAlignment="1">
      <alignment vertical="center"/>
    </xf>
    <xf numFmtId="2" fontId="2" fillId="2" borderId="0" xfId="56" applyFont="1" applyFill="1" applyBorder="1" applyAlignment="1">
      <alignment vertical="center"/>
    </xf>
    <xf numFmtId="178" fontId="2" fillId="2" borderId="0" xfId="56" applyNumberFormat="1" applyFont="1" applyFill="1" applyBorder="1" applyAlignment="1">
      <alignment horizontal="left" vertical="center"/>
    </xf>
    <xf numFmtId="10" fontId="2" fillId="2" borderId="0" xfId="56" applyNumberFormat="1" applyFont="1" applyFill="1" applyBorder="1" applyAlignment="1">
      <alignment horizontal="left" vertical="center"/>
    </xf>
    <xf numFmtId="49" fontId="2" fillId="2" borderId="10" xfId="56" applyNumberFormat="1" applyFont="1" applyFill="1" applyBorder="1" applyAlignment="1" applyProtection="1">
      <alignment horizontal="center" vertical="center" textRotation="255"/>
    </xf>
    <xf numFmtId="2" fontId="2" fillId="2" borderId="10" xfId="56" applyFont="1" applyFill="1" applyBorder="1" applyAlignment="1" applyProtection="1">
      <alignment horizontal="center" vertical="center"/>
    </xf>
    <xf numFmtId="2" fontId="2" fillId="2" borderId="10" xfId="56" applyFont="1" applyFill="1" applyBorder="1" applyAlignment="1" applyProtection="1">
      <alignment horizontal="center" vertical="center" wrapText="1"/>
    </xf>
    <xf numFmtId="10" fontId="2" fillId="2" borderId="10" xfId="56" applyNumberFormat="1" applyFont="1" applyFill="1" applyBorder="1" applyAlignment="1" applyProtection="1">
      <alignment horizontal="center" vertical="center"/>
    </xf>
    <xf numFmtId="2" fontId="2" fillId="2" borderId="10" xfId="56" applyFont="1" applyFill="1" applyBorder="1" applyAlignment="1">
      <alignment horizontal="center" vertical="center"/>
    </xf>
    <xf numFmtId="49" fontId="17" fillId="2" borderId="10" xfId="56" applyNumberFormat="1" applyFont="1" applyFill="1" applyBorder="1" applyAlignment="1" applyProtection="1">
      <alignment horizontal="center" vertical="center"/>
    </xf>
    <xf numFmtId="2" fontId="18" fillId="2" borderId="10" xfId="56" applyFont="1" applyFill="1" applyBorder="1" applyAlignment="1" applyProtection="1">
      <alignment horizontal="left" vertical="center"/>
    </xf>
    <xf numFmtId="2" fontId="19" fillId="2" borderId="10" xfId="56" applyFont="1" applyFill="1" applyBorder="1" applyAlignment="1" applyProtection="1">
      <alignment horizontal="center" vertical="center"/>
    </xf>
    <xf numFmtId="183" fontId="18" fillId="2" borderId="10" xfId="56" applyNumberFormat="1" applyFont="1" applyFill="1" applyBorder="1" applyAlignment="1" applyProtection="1">
      <alignment horizontal="center" vertical="center"/>
    </xf>
    <xf numFmtId="2" fontId="19" fillId="2" borderId="10" xfId="56" applyFont="1" applyFill="1" applyBorder="1" applyAlignment="1">
      <alignment horizontal="center" vertical="center"/>
    </xf>
    <xf numFmtId="0" fontId="19" fillId="2" borderId="10" xfId="55" applyFont="1" applyFill="1" applyBorder="1" applyAlignment="1">
      <alignment horizontal="center" vertical="center" wrapText="1"/>
    </xf>
    <xf numFmtId="0" fontId="2" fillId="0" borderId="10" xfId="55" applyFont="1" applyBorder="1" applyAlignment="1">
      <alignment horizontal="left" vertical="center" wrapText="1"/>
    </xf>
    <xf numFmtId="2" fontId="19" fillId="2" borderId="10" xfId="56" applyNumberFormat="1" applyFont="1" applyFill="1" applyBorder="1" applyAlignment="1" applyProtection="1">
      <alignment horizontal="center" vertical="center"/>
    </xf>
    <xf numFmtId="2" fontId="19" fillId="2" borderId="10" xfId="55" applyNumberFormat="1" applyFont="1" applyFill="1" applyBorder="1" applyAlignment="1">
      <alignment horizontal="center" vertical="center" wrapText="1" shrinkToFit="1"/>
    </xf>
    <xf numFmtId="10" fontId="19" fillId="2" borderId="10" xfId="56" applyNumberFormat="1" applyFont="1" applyFill="1" applyBorder="1" applyAlignment="1" applyProtection="1">
      <alignment horizontal="center" vertical="center"/>
    </xf>
    <xf numFmtId="2" fontId="19" fillId="2" borderId="10" xfId="56" applyFont="1" applyFill="1" applyBorder="1" applyAlignment="1">
      <alignment vertical="center" wrapText="1"/>
    </xf>
    <xf numFmtId="0" fontId="3" fillId="2" borderId="0" xfId="55" applyFont="1" applyFill="1" applyAlignment="1">
      <alignment vertical="center"/>
    </xf>
    <xf numFmtId="49" fontId="18" fillId="2" borderId="10" xfId="56" applyNumberFormat="1" applyFont="1" applyFill="1" applyBorder="1" applyAlignment="1" applyProtection="1">
      <alignment horizontal="center" vertical="center"/>
    </xf>
    <xf numFmtId="2" fontId="18" fillId="2" borderId="10" xfId="56" applyFont="1" applyFill="1" applyBorder="1" applyAlignment="1" applyProtection="1">
      <alignment horizontal="center" vertical="center"/>
    </xf>
    <xf numFmtId="10" fontId="18" fillId="2" borderId="10" xfId="56" applyNumberFormat="1" applyFont="1" applyFill="1" applyBorder="1" applyAlignment="1" applyProtection="1">
      <alignment horizontal="center" vertical="center"/>
    </xf>
    <xf numFmtId="49" fontId="2" fillId="0" borderId="10" xfId="56" applyNumberFormat="1" applyFont="1" applyFill="1" applyBorder="1" applyAlignment="1" applyProtection="1">
      <alignment horizontal="center" vertical="center"/>
    </xf>
    <xf numFmtId="49" fontId="18" fillId="2" borderId="10" xfId="56" applyNumberFormat="1" applyFont="1" applyFill="1" applyBorder="1" applyAlignment="1">
      <alignment horizontal="center" vertical="center"/>
    </xf>
    <xf numFmtId="49" fontId="3" fillId="2" borderId="0" xfId="56" applyNumberFormat="1" applyFont="1" applyFill="1" applyAlignment="1">
      <alignment horizontal="center" vertical="center"/>
    </xf>
    <xf numFmtId="2" fontId="3" fillId="2" borderId="0" xfId="56" applyNumberFormat="1" applyFont="1" applyFill="1" applyAlignment="1">
      <alignment vertical="center"/>
    </xf>
    <xf numFmtId="178" fontId="3" fillId="2" borderId="0" xfId="56" applyNumberFormat="1" applyFont="1" applyFill="1" applyAlignment="1">
      <alignment vertical="center"/>
    </xf>
    <xf numFmtId="10" fontId="3" fillId="2" borderId="0" xfId="56" applyNumberFormat="1" applyFont="1" applyFill="1" applyAlignment="1">
      <alignment vertical="center"/>
    </xf>
    <xf numFmtId="2" fontId="2" fillId="0" borderId="16" xfId="56" applyFont="1" applyFill="1" applyBorder="1" applyAlignment="1">
      <alignment horizontal="center" vertical="center" wrapText="1"/>
    </xf>
    <xf numFmtId="178" fontId="2" fillId="0" borderId="16" xfId="56" applyNumberFormat="1" applyFont="1" applyFill="1" applyBorder="1" applyAlignment="1">
      <alignment horizontal="center" vertical="center" wrapText="1"/>
    </xf>
    <xf numFmtId="2" fontId="2" fillId="0" borderId="17" xfId="56" applyFont="1" applyFill="1" applyBorder="1" applyAlignment="1">
      <alignment horizontal="center" vertical="center" wrapText="1"/>
    </xf>
    <xf numFmtId="2" fontId="2" fillId="0" borderId="17" xfId="56" applyFont="1" applyFill="1" applyBorder="1" applyAlignment="1">
      <alignment horizontal="center" vertical="center"/>
    </xf>
    <xf numFmtId="178" fontId="2" fillId="0" borderId="17" xfId="56" applyNumberFormat="1" applyFont="1" applyFill="1" applyBorder="1" applyAlignment="1">
      <alignment horizontal="center" vertical="center" wrapText="1"/>
    </xf>
    <xf numFmtId="2" fontId="12" fillId="0" borderId="10" xfId="56" applyFont="1" applyFill="1" applyBorder="1" applyAlignment="1">
      <alignment horizontal="center" vertical="center"/>
    </xf>
    <xf numFmtId="2" fontId="2" fillId="0" borderId="10" xfId="55" applyNumberFormat="1" applyFont="1" applyFill="1" applyBorder="1" applyAlignment="1">
      <alignment horizontal="center" vertical="center" wrapText="1" shrinkToFit="1"/>
    </xf>
    <xf numFmtId="2" fontId="14" fillId="0" borderId="10" xfId="56" applyFont="1" applyFill="1" applyBorder="1" applyAlignment="1">
      <alignment horizontal="center" vertical="center"/>
    </xf>
    <xf numFmtId="2" fontId="11" fillId="0" borderId="10" xfId="55" applyNumberFormat="1" applyFont="1" applyFill="1" applyBorder="1" applyAlignment="1">
      <alignment horizontal="center" vertical="center" wrapText="1" shrinkToFit="1"/>
    </xf>
    <xf numFmtId="2" fontId="15" fillId="0" borderId="10" xfId="56" applyFont="1" applyFill="1" applyBorder="1" applyAlignment="1">
      <alignment horizontal="center"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05、县黄路北段(环岛北路~仙岳路)0+300~4+317.71总概算表" xfId="50"/>
    <cellStyle name="常规_53、马銮片区环湾大道方案" xfId="51"/>
    <cellStyle name="常规_66、厦门钟宅湾片区环湾路建议书" xfId="52"/>
    <cellStyle name="常规_副本疏港路（海沧大桥~寨上三路）改造工程初设概算及计算稿" xfId="53"/>
    <cellStyle name="常规_概况" xfId="54"/>
    <cellStyle name="常规_金井二路市政道路工程概况（天大北路-北厝路）" xfId="55"/>
    <cellStyle name="常规_南昌市青山湖污水处理厂可研投标" xfId="56"/>
    <cellStyle name="常规_翁角路与马青路立交估算" xfId="5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72"/>
  <sheetViews>
    <sheetView tabSelected="1" showWhiteSpace="0" workbookViewId="0">
      <selection activeCell="B53" sqref="B53"/>
    </sheetView>
  </sheetViews>
  <sheetFormatPr defaultColWidth="12.5714285714286" defaultRowHeight="21" customHeight="1"/>
  <cols>
    <col min="1" max="1" width="6.42857142857143" style="55" customWidth="1"/>
    <col min="2" max="2" width="49" style="56" customWidth="1"/>
    <col min="3" max="4" width="12.2857142857143" style="56" customWidth="1"/>
    <col min="5" max="5" width="15.8571428571429" style="56" customWidth="1"/>
    <col min="6" max="6" width="20.4285714285714" style="56" customWidth="1"/>
    <col min="7" max="7" width="12.2857142857143" style="56" customWidth="1"/>
    <col min="8" max="8" width="12.2857142857143" style="57" customWidth="1"/>
    <col min="9" max="9" width="12.2857142857143" style="58" customWidth="1"/>
    <col min="10" max="10" width="12.2857142857143" style="56" customWidth="1"/>
    <col min="11" max="16384" width="12.5714285714286" style="56"/>
  </cols>
  <sheetData>
    <row r="1" s="53" customFormat="1" ht="28.15" customHeight="1" spans="1:10">
      <c r="A1" s="59" t="s">
        <v>0</v>
      </c>
      <c r="B1" s="59"/>
      <c r="C1" s="59"/>
      <c r="D1" s="59"/>
      <c r="E1" s="59"/>
      <c r="F1" s="59"/>
      <c r="G1" s="59"/>
      <c r="H1" s="59"/>
      <c r="I1" s="59"/>
      <c r="J1" s="59"/>
    </row>
    <row r="2" ht="28.15" customHeight="1" spans="1:10">
      <c r="A2" s="60" t="s">
        <v>1</v>
      </c>
      <c r="B2" s="60"/>
      <c r="C2" s="60"/>
      <c r="D2" s="60"/>
      <c r="E2" s="60"/>
      <c r="F2" s="60"/>
      <c r="G2" s="60"/>
      <c r="I2" s="61"/>
      <c r="J2" s="62"/>
    </row>
    <row r="3" ht="28.15" customHeight="1" spans="1:10">
      <c r="A3" s="63" t="s">
        <v>2</v>
      </c>
      <c r="B3" s="64" t="s">
        <v>3</v>
      </c>
      <c r="C3" s="64" t="s">
        <v>4</v>
      </c>
      <c r="D3" s="64"/>
      <c r="E3" s="64"/>
      <c r="F3" s="64"/>
      <c r="G3" s="64" t="s">
        <v>5</v>
      </c>
      <c r="H3" s="64"/>
      <c r="I3" s="64"/>
      <c r="J3" s="64" t="s">
        <v>6</v>
      </c>
    </row>
    <row r="4" ht="28.15" customHeight="1" spans="1:10">
      <c r="A4" s="63"/>
      <c r="B4" s="65"/>
      <c r="C4" s="156" t="s">
        <v>7</v>
      </c>
      <c r="D4" s="156" t="s">
        <v>8</v>
      </c>
      <c r="E4" s="156" t="s">
        <v>9</v>
      </c>
      <c r="F4" s="64" t="s">
        <v>10</v>
      </c>
      <c r="G4" s="64" t="s">
        <v>11</v>
      </c>
      <c r="H4" s="66" t="s">
        <v>12</v>
      </c>
      <c r="I4" s="157" t="s">
        <v>13</v>
      </c>
      <c r="J4" s="64"/>
    </row>
    <row r="5" ht="28.15" customHeight="1" spans="1:10">
      <c r="A5" s="63"/>
      <c r="B5" s="65"/>
      <c r="C5" s="158"/>
      <c r="D5" s="158"/>
      <c r="E5" s="159"/>
      <c r="F5" s="64"/>
      <c r="G5" s="64"/>
      <c r="H5" s="66"/>
      <c r="I5" s="160"/>
      <c r="J5" s="64"/>
    </row>
    <row r="6" ht="28.15" customHeight="1" spans="1:10">
      <c r="A6" s="68" t="s">
        <v>14</v>
      </c>
      <c r="B6" s="69" t="s">
        <v>15</v>
      </c>
      <c r="C6" s="70">
        <f>+C7+C53</f>
        <v>1605.83</v>
      </c>
      <c r="D6" s="70">
        <f>+D8</f>
        <v>293.52</v>
      </c>
      <c r="E6" s="70">
        <f>+E7+E53</f>
        <v>3051.63</v>
      </c>
      <c r="F6" s="71">
        <f>F7+F53</f>
        <v>4950.98</v>
      </c>
      <c r="G6" s="64"/>
      <c r="H6" s="72"/>
      <c r="I6" s="67"/>
      <c r="J6" s="65"/>
    </row>
    <row r="7" ht="28.15" customHeight="1" spans="1:10">
      <c r="A7" s="73" t="s">
        <v>16</v>
      </c>
      <c r="B7" s="69" t="s">
        <v>17</v>
      </c>
      <c r="C7" s="70">
        <f>+C8+C50</f>
        <v>1605.83</v>
      </c>
      <c r="D7" s="70">
        <f>+D8+D50</f>
        <v>293.52</v>
      </c>
      <c r="E7" s="70">
        <f>+E8+E50</f>
        <v>2602.23</v>
      </c>
      <c r="F7" s="71">
        <f>+F8+F50</f>
        <v>4501.58</v>
      </c>
      <c r="G7" s="70"/>
      <c r="H7" s="76"/>
      <c r="I7" s="77"/>
      <c r="J7" s="75"/>
    </row>
    <row r="8" ht="28.15" customHeight="1" spans="1:10">
      <c r="A8" s="73" t="s">
        <v>18</v>
      </c>
      <c r="B8" s="78" t="s">
        <v>19</v>
      </c>
      <c r="C8" s="64">
        <f>+C10+C12+C18+C19+C20+C23+C28</f>
        <v>1290.86</v>
      </c>
      <c r="D8" s="64">
        <f>+D13+D15+D16</f>
        <v>293.52</v>
      </c>
      <c r="E8" s="64">
        <f>+E25+E26+E29+E30+E31</f>
        <v>2602.23</v>
      </c>
      <c r="F8" s="80">
        <f>+C8+D8+E8</f>
        <v>4186.61</v>
      </c>
      <c r="G8" s="64" t="s">
        <v>20</v>
      </c>
      <c r="H8" s="81">
        <v>1</v>
      </c>
      <c r="I8" s="67">
        <f>+F8/H8</f>
        <v>4186.61</v>
      </c>
      <c r="J8" s="65"/>
    </row>
    <row r="9" ht="28.15" hidden="1" customHeight="1" spans="1:10">
      <c r="A9" s="73" t="s">
        <v>16</v>
      </c>
      <c r="B9" s="78" t="s">
        <v>21</v>
      </c>
      <c r="C9" s="64"/>
      <c r="D9" s="64"/>
      <c r="E9" s="161"/>
      <c r="F9" s="80">
        <f>SUM(F10:F11)</f>
        <v>597.4</v>
      </c>
      <c r="G9" s="64" t="s">
        <v>22</v>
      </c>
      <c r="H9" s="81">
        <v>2</v>
      </c>
      <c r="I9" s="67">
        <f>+F9/H9</f>
        <v>298.7</v>
      </c>
      <c r="J9" s="65"/>
    </row>
    <row r="10" ht="28.15" hidden="1" customHeight="1" spans="1:10">
      <c r="A10" s="73" t="s">
        <v>18</v>
      </c>
      <c r="B10" s="78" t="s">
        <v>23</v>
      </c>
      <c r="C10" s="64">
        <f>F10</f>
        <v>201.21</v>
      </c>
      <c r="D10" s="64"/>
      <c r="E10" s="161"/>
      <c r="F10" s="80">
        <f>2012101/10000</f>
        <v>201.21</v>
      </c>
      <c r="G10" s="64"/>
      <c r="H10" s="81"/>
      <c r="I10" s="67"/>
      <c r="J10" s="65"/>
    </row>
    <row r="11" ht="28.15" hidden="1" customHeight="1" spans="1:10">
      <c r="A11" s="73" t="s">
        <v>24</v>
      </c>
      <c r="B11" s="78" t="s">
        <v>25</v>
      </c>
      <c r="C11" s="64"/>
      <c r="D11" s="64"/>
      <c r="E11" s="161"/>
      <c r="F11" s="80">
        <f>+F12+F13</f>
        <v>396.19</v>
      </c>
      <c r="G11" s="64"/>
      <c r="H11" s="81"/>
      <c r="I11" s="67"/>
      <c r="J11" s="65"/>
    </row>
    <row r="12" ht="28.15" hidden="1" customHeight="1" spans="1:10">
      <c r="A12" s="73"/>
      <c r="B12" s="78" t="s">
        <v>26</v>
      </c>
      <c r="C12" s="64">
        <f>+F12</f>
        <v>315.2</v>
      </c>
      <c r="D12" s="64"/>
      <c r="E12" s="161"/>
      <c r="F12" s="83">
        <f>3151952/10000</f>
        <v>315.2</v>
      </c>
      <c r="G12" s="64"/>
      <c r="H12" s="81"/>
      <c r="I12" s="67"/>
      <c r="J12" s="65"/>
    </row>
    <row r="13" ht="28.15" hidden="1" customHeight="1" spans="1:10">
      <c r="A13" s="73"/>
      <c r="B13" s="78" t="s">
        <v>27</v>
      </c>
      <c r="C13" s="64"/>
      <c r="D13" s="64">
        <f>+F13</f>
        <v>80.99</v>
      </c>
      <c r="E13" s="161"/>
      <c r="F13" s="83">
        <f>809906.8/10000</f>
        <v>80.99</v>
      </c>
      <c r="G13" s="64"/>
      <c r="H13" s="81"/>
      <c r="I13" s="67"/>
      <c r="J13" s="65"/>
    </row>
    <row r="14" ht="28.15" hidden="1" customHeight="1" spans="1:10">
      <c r="A14" s="73" t="s">
        <v>28</v>
      </c>
      <c r="B14" s="78" t="s">
        <v>29</v>
      </c>
      <c r="C14" s="64"/>
      <c r="D14" s="64"/>
      <c r="E14" s="161"/>
      <c r="F14" s="80">
        <f>SUM(F15:F16)</f>
        <v>212.53</v>
      </c>
      <c r="G14" s="64" t="s">
        <v>30</v>
      </c>
      <c r="H14" s="81">
        <v>1</v>
      </c>
      <c r="I14" s="67">
        <f>+F14/H14</f>
        <v>212.53</v>
      </c>
      <c r="J14" s="65"/>
    </row>
    <row r="15" ht="28.15" hidden="1" customHeight="1" spans="1:10">
      <c r="A15" s="73"/>
      <c r="B15" s="78" t="s">
        <v>31</v>
      </c>
      <c r="C15" s="64"/>
      <c r="D15" s="64">
        <f>1356472/10000</f>
        <v>135.65</v>
      </c>
      <c r="E15" s="161"/>
      <c r="F15" s="80">
        <f>D15</f>
        <v>135.65</v>
      </c>
      <c r="G15" s="64"/>
      <c r="H15" s="81"/>
      <c r="I15" s="67"/>
      <c r="J15" s="65"/>
    </row>
    <row r="16" ht="28.15" hidden="1" customHeight="1" spans="1:10">
      <c r="A16" s="73"/>
      <c r="B16" s="78" t="s">
        <v>32</v>
      </c>
      <c r="C16" s="64"/>
      <c r="D16" s="64">
        <v>76.88</v>
      </c>
      <c r="E16" s="161"/>
      <c r="F16" s="80">
        <f>D16</f>
        <v>76.88</v>
      </c>
      <c r="G16" s="64"/>
      <c r="H16" s="81"/>
      <c r="I16" s="67"/>
      <c r="J16" s="65"/>
    </row>
    <row r="17" ht="28.15" hidden="1" customHeight="1" spans="1:10">
      <c r="A17" s="73" t="s">
        <v>33</v>
      </c>
      <c r="B17" s="78" t="s">
        <v>34</v>
      </c>
      <c r="C17" s="64"/>
      <c r="D17" s="64"/>
      <c r="E17" s="161"/>
      <c r="F17" s="80">
        <f>SUM(F18:F20)</f>
        <v>434.78</v>
      </c>
      <c r="G17" s="64" t="s">
        <v>35</v>
      </c>
      <c r="H17" s="81">
        <v>14226</v>
      </c>
      <c r="I17" s="67">
        <f>+F17/H17</f>
        <v>0.03</v>
      </c>
      <c r="J17" s="65"/>
    </row>
    <row r="18" ht="28.15" hidden="1" customHeight="1" spans="1:10">
      <c r="A18" s="84"/>
      <c r="B18" s="85" t="s">
        <v>36</v>
      </c>
      <c r="C18" s="162">
        <f>3569739/10000</f>
        <v>356.97</v>
      </c>
      <c r="D18" s="163"/>
      <c r="E18" s="163"/>
      <c r="F18" s="64">
        <f>SUM(C18:E18)</f>
        <v>356.97</v>
      </c>
      <c r="G18" s="64" t="s">
        <v>35</v>
      </c>
      <c r="H18" s="81">
        <f>4202.8+3753.5+5676.8+592.4</f>
        <v>14226</v>
      </c>
      <c r="I18" s="66">
        <f t="shared" ref="I18:I23" si="0">F18/H18*10000</f>
        <v>251</v>
      </c>
      <c r="J18" s="88"/>
    </row>
    <row r="19" ht="28.15" hidden="1" customHeight="1" spans="1:10">
      <c r="A19" s="84"/>
      <c r="B19" s="85" t="s">
        <v>37</v>
      </c>
      <c r="C19" s="162">
        <f>613958/10000</f>
        <v>61.4</v>
      </c>
      <c r="D19" s="163"/>
      <c r="E19" s="163"/>
      <c r="F19" s="64">
        <f>SUM(C19:E19)</f>
        <v>61.4</v>
      </c>
      <c r="G19" s="64" t="s">
        <v>20</v>
      </c>
      <c r="H19" s="81">
        <v>1</v>
      </c>
      <c r="I19" s="66">
        <v>613958</v>
      </c>
      <c r="J19" s="88"/>
    </row>
    <row r="20" ht="28.15" hidden="1" customHeight="1" spans="1:10">
      <c r="A20" s="84"/>
      <c r="B20" s="85" t="s">
        <v>38</v>
      </c>
      <c r="C20" s="162">
        <f>164117/10000</f>
        <v>16.41</v>
      </c>
      <c r="D20" s="64"/>
      <c r="E20" s="163"/>
      <c r="F20" s="64">
        <f>SUM(C20:E20)</f>
        <v>16.41</v>
      </c>
      <c r="G20" s="64" t="s">
        <v>39</v>
      </c>
      <c r="H20" s="81">
        <v>991</v>
      </c>
      <c r="I20" s="66">
        <f t="shared" si="0"/>
        <v>166</v>
      </c>
      <c r="J20" s="88"/>
    </row>
    <row r="21" ht="28.15" hidden="1" customHeight="1" spans="1:10">
      <c r="A21" s="73" t="s">
        <v>40</v>
      </c>
      <c r="B21" s="78" t="s">
        <v>41</v>
      </c>
      <c r="C21" s="64"/>
      <c r="D21" s="64"/>
      <c r="E21" s="161"/>
      <c r="F21" s="80">
        <f>F22+F24</f>
        <v>838.72</v>
      </c>
      <c r="G21" s="64" t="s">
        <v>35</v>
      </c>
      <c r="H21" s="81">
        <v>1700</v>
      </c>
      <c r="I21" s="67">
        <f>+F21/H21</f>
        <v>0.49</v>
      </c>
      <c r="J21" s="65"/>
    </row>
    <row r="22" ht="28.15" hidden="1" customHeight="1" spans="1:10">
      <c r="A22" s="73" t="s">
        <v>42</v>
      </c>
      <c r="B22" s="78" t="s">
        <v>43</v>
      </c>
      <c r="C22" s="64"/>
      <c r="D22" s="64"/>
      <c r="E22" s="161"/>
      <c r="F22" s="80">
        <f>F23</f>
        <v>338.89</v>
      </c>
      <c r="G22" s="64"/>
      <c r="H22" s="81"/>
      <c r="I22" s="67"/>
      <c r="J22" s="65"/>
    </row>
    <row r="23" s="54" customFormat="1" ht="28.15" hidden="1" customHeight="1" spans="1:10">
      <c r="A23" s="84"/>
      <c r="B23" s="85" t="s">
        <v>44</v>
      </c>
      <c r="C23" s="162">
        <f>3388851/10000</f>
        <v>338.89</v>
      </c>
      <c r="D23" s="64"/>
      <c r="E23" s="163"/>
      <c r="F23" s="64">
        <f>SUM(C23:E23)</f>
        <v>338.89</v>
      </c>
      <c r="G23" s="64" t="s">
        <v>35</v>
      </c>
      <c r="H23" s="81">
        <v>1700</v>
      </c>
      <c r="I23" s="66">
        <f t="shared" si="0"/>
        <v>1993</v>
      </c>
      <c r="J23" s="88"/>
    </row>
    <row r="24" s="54" customFormat="1" ht="28.15" hidden="1" customHeight="1" spans="1:10">
      <c r="A24" s="73" t="s">
        <v>45</v>
      </c>
      <c r="B24" s="78" t="s">
        <v>46</v>
      </c>
      <c r="C24" s="64"/>
      <c r="D24" s="64"/>
      <c r="E24" s="161"/>
      <c r="F24" s="80">
        <f>SUM(F25:F26)</f>
        <v>499.83</v>
      </c>
      <c r="G24" s="64"/>
      <c r="H24" s="81"/>
      <c r="I24" s="67"/>
      <c r="J24" s="65"/>
    </row>
    <row r="25" ht="28.15" hidden="1" customHeight="1" spans="1:10">
      <c r="A25" s="84"/>
      <c r="B25" s="85" t="s">
        <v>47</v>
      </c>
      <c r="C25" s="162"/>
      <c r="D25" s="64"/>
      <c r="E25" s="64">
        <v>197.2</v>
      </c>
      <c r="F25" s="64">
        <v>197.2</v>
      </c>
      <c r="G25" s="64" t="s">
        <v>20</v>
      </c>
      <c r="H25" s="81">
        <v>1</v>
      </c>
      <c r="I25" s="66">
        <v>1972000</v>
      </c>
      <c r="J25" s="88" t="s">
        <v>48</v>
      </c>
    </row>
    <row r="26" s="54" customFormat="1" ht="28.15" hidden="1" customHeight="1" spans="1:10">
      <c r="A26" s="84"/>
      <c r="B26" s="85" t="s">
        <v>49</v>
      </c>
      <c r="C26" s="162"/>
      <c r="D26" s="64"/>
      <c r="E26" s="64">
        <v>302.63</v>
      </c>
      <c r="F26" s="64">
        <v>302.63</v>
      </c>
      <c r="G26" s="64" t="s">
        <v>20</v>
      </c>
      <c r="H26" s="81">
        <v>1</v>
      </c>
      <c r="I26" s="66">
        <v>3026300</v>
      </c>
      <c r="J26" s="88" t="s">
        <v>48</v>
      </c>
    </row>
    <row r="27" s="54" customFormat="1" ht="28.15" hidden="1" customHeight="1" spans="1:10">
      <c r="A27" s="73" t="s">
        <v>50</v>
      </c>
      <c r="B27" s="78" t="s">
        <v>51</v>
      </c>
      <c r="C27" s="64"/>
      <c r="D27" s="64"/>
      <c r="E27" s="161"/>
      <c r="F27" s="80">
        <f>SUM(F28:F30)</f>
        <v>170.78</v>
      </c>
      <c r="G27" s="64" t="s">
        <v>30</v>
      </c>
      <c r="H27" s="81">
        <v>1</v>
      </c>
      <c r="I27" s="67">
        <f>+F27/H27</f>
        <v>170.78</v>
      </c>
      <c r="J27" s="65"/>
    </row>
    <row r="28" ht="28.15" hidden="1" customHeight="1" spans="1:10">
      <c r="A28" s="73"/>
      <c r="B28" s="78" t="s">
        <v>52</v>
      </c>
      <c r="C28" s="64">
        <f>7762/10000</f>
        <v>0.78</v>
      </c>
      <c r="D28" s="64"/>
      <c r="E28" s="161"/>
      <c r="F28" s="64">
        <f>SUM(C28:E28)</f>
        <v>0.78</v>
      </c>
      <c r="G28" s="64" t="s">
        <v>35</v>
      </c>
      <c r="H28" s="81">
        <v>24</v>
      </c>
      <c r="I28" s="66">
        <f>F28/H28*10000</f>
        <v>325</v>
      </c>
      <c r="J28" s="65"/>
    </row>
    <row r="29" ht="28.15" hidden="1" customHeight="1" spans="1:10">
      <c r="A29" s="73"/>
      <c r="B29" s="78" t="s">
        <v>53</v>
      </c>
      <c r="C29" s="64"/>
      <c r="D29" s="64"/>
      <c r="E29" s="64">
        <v>10</v>
      </c>
      <c r="F29" s="64">
        <v>10</v>
      </c>
      <c r="G29" s="64" t="s">
        <v>20</v>
      </c>
      <c r="H29" s="81">
        <v>1</v>
      </c>
      <c r="I29" s="66">
        <v>10000</v>
      </c>
      <c r="J29" s="65"/>
    </row>
    <row r="30" ht="28.15" hidden="1" customHeight="1" spans="1:10">
      <c r="A30" s="84"/>
      <c r="B30" s="85" t="s">
        <v>54</v>
      </c>
      <c r="C30" s="162"/>
      <c r="D30" s="64"/>
      <c r="E30" s="64">
        <v>160</v>
      </c>
      <c r="F30" s="64">
        <v>160</v>
      </c>
      <c r="G30" s="64" t="s">
        <v>20</v>
      </c>
      <c r="H30" s="81">
        <v>1</v>
      </c>
      <c r="I30" s="66">
        <v>1600000</v>
      </c>
      <c r="J30" s="88" t="s">
        <v>48</v>
      </c>
    </row>
    <row r="31" s="54" customFormat="1" ht="28.15" hidden="1" customHeight="1" spans="1:10">
      <c r="A31" s="73" t="s">
        <v>55</v>
      </c>
      <c r="B31" s="78" t="s">
        <v>56</v>
      </c>
      <c r="C31" s="90"/>
      <c r="D31" s="90"/>
      <c r="E31" s="161">
        <f>F31</f>
        <v>1932.4</v>
      </c>
      <c r="F31" s="92">
        <f>F32+F39+F42+F45</f>
        <v>1932.4</v>
      </c>
      <c r="G31" s="64" t="s">
        <v>20</v>
      </c>
      <c r="H31" s="81">
        <v>1</v>
      </c>
      <c r="I31" s="67">
        <f t="shared" ref="I31:I46" si="1">+F31/H31</f>
        <v>1932.4</v>
      </c>
      <c r="J31" s="70"/>
    </row>
    <row r="32" s="54" customFormat="1" ht="28.15" hidden="1" customHeight="1" spans="1:10">
      <c r="A32" s="73"/>
      <c r="B32" s="78" t="s">
        <v>29</v>
      </c>
      <c r="C32" s="90"/>
      <c r="D32" s="90"/>
      <c r="E32" s="91">
        <f>+SUM(E33:E38)</f>
        <v>1364.56</v>
      </c>
      <c r="F32" s="92">
        <f>F33</f>
        <v>1364.56</v>
      </c>
      <c r="G32" s="64" t="s">
        <v>20</v>
      </c>
      <c r="H32" s="81">
        <v>1</v>
      </c>
      <c r="I32" s="67">
        <f t="shared" si="1"/>
        <v>1364.56</v>
      </c>
      <c r="J32" s="70"/>
    </row>
    <row r="33" s="54" customFormat="1" ht="28.15" hidden="1" customHeight="1" spans="1:10">
      <c r="A33" s="73" t="s">
        <v>57</v>
      </c>
      <c r="B33" s="78" t="s">
        <v>58</v>
      </c>
      <c r="C33" s="90"/>
      <c r="D33" s="90"/>
      <c r="E33" s="90"/>
      <c r="F33" s="92">
        <f>SUM(F34:F38)</f>
        <v>1364.56</v>
      </c>
      <c r="G33" s="64" t="s">
        <v>20</v>
      </c>
      <c r="H33" s="81">
        <v>1</v>
      </c>
      <c r="I33" s="67">
        <f t="shared" si="1"/>
        <v>1364.56</v>
      </c>
      <c r="J33" s="70"/>
    </row>
    <row r="34" s="54" customFormat="1" ht="28.15" hidden="1" customHeight="1" spans="1:10">
      <c r="A34" s="93"/>
      <c r="B34" s="78" t="s">
        <v>59</v>
      </c>
      <c r="C34" s="90"/>
      <c r="D34" s="90"/>
      <c r="E34" s="91">
        <v>470.18</v>
      </c>
      <c r="F34" s="94">
        <f>SUM(C34:E34)</f>
        <v>470.18</v>
      </c>
      <c r="G34" s="64" t="s">
        <v>20</v>
      </c>
      <c r="H34" s="81">
        <v>1</v>
      </c>
      <c r="I34" s="67">
        <f t="shared" si="1"/>
        <v>470.18</v>
      </c>
      <c r="J34" s="70"/>
    </row>
    <row r="35" s="54" customFormat="1" ht="28.15" hidden="1" customHeight="1" spans="1:10">
      <c r="A35" s="93"/>
      <c r="B35" s="78" t="s">
        <v>60</v>
      </c>
      <c r="C35" s="90"/>
      <c r="D35" s="90"/>
      <c r="E35" s="91">
        <v>50</v>
      </c>
      <c r="F35" s="94">
        <f>SUM(C35:E35)</f>
        <v>50</v>
      </c>
      <c r="G35" s="64" t="s">
        <v>20</v>
      </c>
      <c r="H35" s="81">
        <v>1</v>
      </c>
      <c r="I35" s="67">
        <f t="shared" si="1"/>
        <v>50</v>
      </c>
      <c r="J35" s="70"/>
    </row>
    <row r="36" s="54" customFormat="1" ht="28.15" hidden="1" customHeight="1" spans="1:10">
      <c r="A36" s="93"/>
      <c r="B36" s="78" t="s">
        <v>61</v>
      </c>
      <c r="C36" s="90"/>
      <c r="D36" s="90"/>
      <c r="E36" s="91">
        <v>294</v>
      </c>
      <c r="F36" s="94">
        <f>SUM(C36:E36)</f>
        <v>294</v>
      </c>
      <c r="G36" s="64" t="s">
        <v>20</v>
      </c>
      <c r="H36" s="81">
        <v>1</v>
      </c>
      <c r="I36" s="67">
        <f t="shared" si="1"/>
        <v>294</v>
      </c>
      <c r="J36" s="70"/>
    </row>
    <row r="37" s="54" customFormat="1" ht="28.15" hidden="1" customHeight="1" spans="1:10">
      <c r="A37" s="93"/>
      <c r="B37" s="78" t="s">
        <v>62</v>
      </c>
      <c r="C37" s="90"/>
      <c r="D37" s="90"/>
      <c r="E37" s="80">
        <v>436.96</v>
      </c>
      <c r="F37" s="94">
        <f>SUM(C37:E37)</f>
        <v>436.96</v>
      </c>
      <c r="G37" s="64" t="s">
        <v>20</v>
      </c>
      <c r="H37" s="81">
        <v>1</v>
      </c>
      <c r="I37" s="67">
        <f t="shared" si="1"/>
        <v>436.96</v>
      </c>
      <c r="J37" s="70"/>
    </row>
    <row r="38" s="54" customFormat="1" ht="28.15" hidden="1" customHeight="1" spans="1:10">
      <c r="A38" s="93"/>
      <c r="B38" s="78" t="s">
        <v>63</v>
      </c>
      <c r="C38" s="90"/>
      <c r="D38" s="90"/>
      <c r="E38" s="80">
        <v>113.42</v>
      </c>
      <c r="F38" s="94">
        <f>SUM(C38:E38)</f>
        <v>113.42</v>
      </c>
      <c r="G38" s="64" t="s">
        <v>20</v>
      </c>
      <c r="H38" s="81">
        <v>1</v>
      </c>
      <c r="I38" s="67">
        <f t="shared" si="1"/>
        <v>113.42</v>
      </c>
      <c r="J38" s="95" t="s">
        <v>64</v>
      </c>
    </row>
    <row r="39" s="54" customFormat="1" ht="28.15" hidden="1" customHeight="1" spans="1:10">
      <c r="A39" s="73" t="s">
        <v>65</v>
      </c>
      <c r="B39" s="78" t="s">
        <v>34</v>
      </c>
      <c r="C39" s="90"/>
      <c r="D39" s="90"/>
      <c r="E39" s="91">
        <f>+E40</f>
        <v>56</v>
      </c>
      <c r="F39" s="94">
        <f>SUM(F40)</f>
        <v>56</v>
      </c>
      <c r="G39" s="64" t="s">
        <v>20</v>
      </c>
      <c r="H39" s="81">
        <v>1</v>
      </c>
      <c r="I39" s="67">
        <f t="shared" si="1"/>
        <v>56</v>
      </c>
      <c r="J39" s="70"/>
    </row>
    <row r="40" s="54" customFormat="1" ht="28.15" hidden="1" customHeight="1" spans="1:10">
      <c r="A40" s="93"/>
      <c r="B40" s="78" t="s">
        <v>66</v>
      </c>
      <c r="C40" s="90"/>
      <c r="D40" s="90"/>
      <c r="E40" s="80">
        <v>56</v>
      </c>
      <c r="F40" s="94">
        <v>56</v>
      </c>
      <c r="G40" s="64" t="s">
        <v>20</v>
      </c>
      <c r="H40" s="81">
        <v>1</v>
      </c>
      <c r="I40" s="67">
        <f t="shared" si="1"/>
        <v>56</v>
      </c>
      <c r="J40" s="70"/>
    </row>
    <row r="41" s="54" customFormat="1" ht="28.15" hidden="1" customHeight="1" spans="1:10">
      <c r="A41" s="73" t="s">
        <v>67</v>
      </c>
      <c r="B41" s="78" t="s">
        <v>41</v>
      </c>
      <c r="C41" s="90"/>
      <c r="D41" s="90"/>
      <c r="E41" s="80">
        <f>+SUM(E42:E44)</f>
        <v>478.94</v>
      </c>
      <c r="F41" s="94">
        <f>F42</f>
        <v>478.94</v>
      </c>
      <c r="G41" s="64" t="s">
        <v>20</v>
      </c>
      <c r="H41" s="81">
        <v>1</v>
      </c>
      <c r="I41" s="67">
        <f t="shared" si="1"/>
        <v>478.94</v>
      </c>
      <c r="J41" s="70"/>
    </row>
    <row r="42" s="54" customFormat="1" ht="28.15" hidden="1" customHeight="1" spans="1:10">
      <c r="A42" s="73" t="s">
        <v>68</v>
      </c>
      <c r="B42" s="78" t="s">
        <v>43</v>
      </c>
      <c r="C42" s="90"/>
      <c r="D42" s="90"/>
      <c r="E42" s="90"/>
      <c r="F42" s="94">
        <f>SUM(F43:F44)</f>
        <v>478.94</v>
      </c>
      <c r="G42" s="64" t="s">
        <v>20</v>
      </c>
      <c r="H42" s="81">
        <v>1</v>
      </c>
      <c r="I42" s="67">
        <f t="shared" si="1"/>
        <v>478.94</v>
      </c>
      <c r="J42" s="70"/>
    </row>
    <row r="43" s="54" customFormat="1" ht="28.15" hidden="1" customHeight="1" spans="1:10">
      <c r="A43" s="73"/>
      <c r="B43" s="78" t="s">
        <v>69</v>
      </c>
      <c r="C43" s="90"/>
      <c r="D43" s="90"/>
      <c r="E43" s="80">
        <f>428.44+36</f>
        <v>464.44</v>
      </c>
      <c r="F43" s="94">
        <f>SUM(C43:E43)</f>
        <v>464.44</v>
      </c>
      <c r="G43" s="64" t="s">
        <v>20</v>
      </c>
      <c r="H43" s="81">
        <v>1</v>
      </c>
      <c r="I43" s="67">
        <f t="shared" si="1"/>
        <v>464.44</v>
      </c>
      <c r="J43" s="70"/>
    </row>
    <row r="44" s="54" customFormat="1" ht="28.15" hidden="1" customHeight="1" spans="1:10">
      <c r="A44" s="93"/>
      <c r="B44" s="78" t="s">
        <v>70</v>
      </c>
      <c r="C44" s="90"/>
      <c r="D44" s="90"/>
      <c r="E44" s="80">
        <v>14.5</v>
      </c>
      <c r="F44" s="94">
        <f>SUM(C44:E44)</f>
        <v>14.5</v>
      </c>
      <c r="G44" s="64" t="s">
        <v>20</v>
      </c>
      <c r="H44" s="81">
        <v>1</v>
      </c>
      <c r="I44" s="67">
        <f t="shared" si="1"/>
        <v>14.5</v>
      </c>
      <c r="J44" s="70"/>
    </row>
    <row r="45" s="54" customFormat="1" ht="28.15" hidden="1" customHeight="1" spans="1:10">
      <c r="A45" s="73" t="s">
        <v>71</v>
      </c>
      <c r="B45" s="78" t="s">
        <v>51</v>
      </c>
      <c r="C45" s="90"/>
      <c r="D45" s="90"/>
      <c r="E45" s="80">
        <f>+SUM(E46:E49)</f>
        <v>32.9</v>
      </c>
      <c r="F45" s="94">
        <f>F46+F49</f>
        <v>32.9</v>
      </c>
      <c r="G45" s="64" t="s">
        <v>20</v>
      </c>
      <c r="H45" s="81">
        <v>1</v>
      </c>
      <c r="I45" s="67">
        <f t="shared" si="1"/>
        <v>32.9</v>
      </c>
      <c r="J45" s="70"/>
    </row>
    <row r="46" s="54" customFormat="1" ht="28.15" hidden="1" customHeight="1" spans="1:10">
      <c r="A46" s="73" t="s">
        <v>72</v>
      </c>
      <c r="B46" s="96" t="s">
        <v>73</v>
      </c>
      <c r="C46" s="90"/>
      <c r="D46" s="90"/>
      <c r="E46" s="80"/>
      <c r="F46" s="94">
        <f>SUM(F47:F48)</f>
        <v>25</v>
      </c>
      <c r="G46" s="70"/>
      <c r="H46" s="70"/>
      <c r="I46" s="70"/>
      <c r="J46" s="70"/>
    </row>
    <row r="47" s="54" customFormat="1" ht="28.15" hidden="1" customHeight="1" spans="1:10">
      <c r="A47" s="73"/>
      <c r="B47" s="96" t="s">
        <v>74</v>
      </c>
      <c r="C47" s="90"/>
      <c r="D47" s="90"/>
      <c r="E47" s="80">
        <v>25</v>
      </c>
      <c r="F47" s="94">
        <f>SUM(C47:E47)</f>
        <v>25</v>
      </c>
      <c r="G47" s="70"/>
      <c r="H47" s="70"/>
      <c r="I47" s="70"/>
      <c r="J47" s="70"/>
    </row>
    <row r="48" s="54" customFormat="1" ht="28.15" hidden="1" customHeight="1" spans="1:10">
      <c r="A48" s="73"/>
      <c r="B48" s="96" t="s">
        <v>75</v>
      </c>
      <c r="C48" s="90"/>
      <c r="D48" s="90"/>
      <c r="E48" s="80">
        <v>0</v>
      </c>
      <c r="F48" s="94">
        <f>SUM(C48:E48)</f>
        <v>0</v>
      </c>
      <c r="G48" s="70"/>
      <c r="H48" s="70"/>
      <c r="I48" s="70"/>
      <c r="J48" s="70"/>
    </row>
    <row r="49" s="54" customFormat="1" ht="28.15" hidden="1" customHeight="1" spans="1:10">
      <c r="A49" s="73" t="s">
        <v>76</v>
      </c>
      <c r="B49" s="96" t="s">
        <v>77</v>
      </c>
      <c r="C49" s="90"/>
      <c r="D49" s="90"/>
      <c r="E49" s="80">
        <v>7.9</v>
      </c>
      <c r="F49" s="94">
        <f>SUM(C49:E49)</f>
        <v>7.9</v>
      </c>
      <c r="G49" s="64" t="s">
        <v>30</v>
      </c>
      <c r="H49" s="66">
        <v>1</v>
      </c>
      <c r="I49" s="70"/>
      <c r="J49" s="70"/>
    </row>
    <row r="50" s="54" customFormat="1" ht="28.15" customHeight="1" spans="1:10">
      <c r="A50" s="73" t="s">
        <v>24</v>
      </c>
      <c r="B50" s="78" t="s">
        <v>78</v>
      </c>
      <c r="C50" s="162">
        <f>+C52</f>
        <v>314.97</v>
      </c>
      <c r="D50" s="64"/>
      <c r="E50" s="163"/>
      <c r="F50" s="64">
        <f>F51</f>
        <v>314.97</v>
      </c>
      <c r="G50" s="64" t="s">
        <v>20</v>
      </c>
      <c r="H50" s="81">
        <v>1</v>
      </c>
      <c r="I50" s="67">
        <f>+F50/H50</f>
        <v>314.97</v>
      </c>
      <c r="J50" s="88"/>
    </row>
    <row r="51" s="54" customFormat="1" ht="28.15" hidden="1" customHeight="1" spans="1:10">
      <c r="A51" s="73" t="s">
        <v>16</v>
      </c>
      <c r="B51" s="78" t="s">
        <v>79</v>
      </c>
      <c r="C51" s="162"/>
      <c r="D51" s="64"/>
      <c r="E51" s="163"/>
      <c r="F51" s="80">
        <f>SUM(F52:F52)</f>
        <v>314.97</v>
      </c>
      <c r="G51" s="64" t="s">
        <v>20</v>
      </c>
      <c r="H51" s="81">
        <v>1</v>
      </c>
      <c r="I51" s="67">
        <f>+F51/H51</f>
        <v>314.97</v>
      </c>
      <c r="J51" s="88"/>
    </row>
    <row r="52" s="54" customFormat="1" ht="28.15" hidden="1" customHeight="1" spans="1:10">
      <c r="A52" s="73"/>
      <c r="B52" s="78" t="s">
        <v>80</v>
      </c>
      <c r="C52" s="64">
        <f>I52/10000</f>
        <v>314.97</v>
      </c>
      <c r="D52" s="64"/>
      <c r="E52" s="161"/>
      <c r="F52" s="64">
        <f>SUM(C52:E52)</f>
        <v>314.97</v>
      </c>
      <c r="G52" s="64" t="s">
        <v>20</v>
      </c>
      <c r="H52" s="81">
        <v>1</v>
      </c>
      <c r="I52" s="66">
        <v>3149651</v>
      </c>
      <c r="J52" s="88"/>
    </row>
    <row r="53" s="54" customFormat="1" ht="28.15" customHeight="1" spans="1:10">
      <c r="A53" s="73" t="s">
        <v>28</v>
      </c>
      <c r="B53" s="69" t="s">
        <v>81</v>
      </c>
      <c r="C53" s="164"/>
      <c r="D53" s="165"/>
      <c r="E53" s="70">
        <v>449.4</v>
      </c>
      <c r="F53" s="70">
        <v>449.4</v>
      </c>
      <c r="G53" s="64" t="s">
        <v>20</v>
      </c>
      <c r="H53" s="81">
        <v>1</v>
      </c>
      <c r="I53" s="67">
        <f>+F53/H53</f>
        <v>449.4</v>
      </c>
      <c r="J53" s="99"/>
    </row>
    <row r="54" s="54" customFormat="1" ht="28.15" customHeight="1" spans="1:10">
      <c r="A54" s="93" t="s">
        <v>82</v>
      </c>
      <c r="B54" s="69" t="s">
        <v>83</v>
      </c>
      <c r="C54" s="100"/>
      <c r="D54" s="101"/>
      <c r="E54" s="101"/>
      <c r="F54" s="92">
        <f ca="1">SUM(F55:F70)</f>
        <v>399.17</v>
      </c>
      <c r="G54" s="103" t="s">
        <v>84</v>
      </c>
      <c r="H54" s="104"/>
      <c r="I54" s="104"/>
      <c r="J54" s="105"/>
    </row>
    <row r="55" ht="28.15" customHeight="1" spans="1:10">
      <c r="A55" s="81">
        <v>1</v>
      </c>
      <c r="B55" s="106" t="s">
        <v>85</v>
      </c>
      <c r="C55" s="100"/>
      <c r="D55" s="101"/>
      <c r="E55" s="101"/>
      <c r="F55" s="64">
        <f ca="1">IF((F72)&gt;100000,((F72)-100000)*0.4%+940,IF((F72)&gt;50000,((F72)-50000)*0.8%+540,IF((F72)&gt;10000,((F72)-10000)*1%+140,IF((F72)&gt;5000,((F72)-5000)*1.2%+80,IF((F72)&gt;1000,((F72)-1000)*1.5%+20,(F72)*2%)))))</f>
        <v>86.13</v>
      </c>
      <c r="G55" s="107" t="s">
        <v>86</v>
      </c>
      <c r="H55" s="108"/>
      <c r="I55" s="108"/>
      <c r="J55" s="109"/>
    </row>
    <row r="56" ht="28.15" customHeight="1" spans="1:10">
      <c r="A56" s="81">
        <f>A55+1</f>
        <v>2</v>
      </c>
      <c r="B56" s="106" t="s">
        <v>87</v>
      </c>
      <c r="C56" s="100" t="s">
        <v>88</v>
      </c>
      <c r="D56" s="101"/>
      <c r="E56" s="101"/>
      <c r="F56" s="64">
        <v>4.97</v>
      </c>
      <c r="G56" s="107" t="s">
        <v>89</v>
      </c>
      <c r="H56" s="108"/>
      <c r="I56" s="108"/>
      <c r="J56" s="109"/>
    </row>
    <row r="57" ht="28.15" customHeight="1" spans="1:10">
      <c r="A57" s="81">
        <v>3</v>
      </c>
      <c r="B57" s="106" t="s">
        <v>90</v>
      </c>
      <c r="C57" s="100"/>
      <c r="D57" s="101"/>
      <c r="E57" s="101"/>
      <c r="F57" s="64">
        <v>1.75</v>
      </c>
      <c r="G57" s="107" t="s">
        <v>89</v>
      </c>
      <c r="H57" s="108"/>
      <c r="I57" s="108"/>
      <c r="J57" s="109"/>
    </row>
    <row r="58" ht="28.15" customHeight="1" spans="1:10">
      <c r="A58" s="81">
        <v>4</v>
      </c>
      <c r="B58" s="110" t="s">
        <v>91</v>
      </c>
      <c r="C58" s="100"/>
      <c r="D58" s="101"/>
      <c r="E58" s="101"/>
      <c r="F58" s="64">
        <f>37440/10000</f>
        <v>3.74</v>
      </c>
      <c r="G58" s="107" t="s">
        <v>89</v>
      </c>
      <c r="H58" s="108"/>
      <c r="I58" s="108"/>
      <c r="J58" s="109"/>
    </row>
    <row r="59" ht="28.15" customHeight="1" spans="1:10">
      <c r="A59" s="81">
        <v>5</v>
      </c>
      <c r="B59" s="106" t="s">
        <v>92</v>
      </c>
      <c r="C59" s="100"/>
      <c r="D59" s="101"/>
      <c r="E59" s="101"/>
      <c r="F59" s="64">
        <f>860886.72/10000</f>
        <v>86.09</v>
      </c>
      <c r="G59" s="107" t="s">
        <v>89</v>
      </c>
      <c r="H59" s="108"/>
      <c r="I59" s="108"/>
      <c r="J59" s="109"/>
    </row>
    <row r="60" ht="28.15" customHeight="1" spans="1:10">
      <c r="A60" s="81">
        <v>6</v>
      </c>
      <c r="B60" s="106" t="s">
        <v>93</v>
      </c>
      <c r="C60" s="100"/>
      <c r="D60" s="101"/>
      <c r="E60" s="101"/>
      <c r="F60" s="64">
        <f>620908.8/10000</f>
        <v>62.09</v>
      </c>
      <c r="G60" s="107" t="s">
        <v>89</v>
      </c>
      <c r="H60" s="108"/>
      <c r="I60" s="108"/>
      <c r="J60" s="109"/>
    </row>
    <row r="61" ht="28.15" customHeight="1" spans="1:10">
      <c r="A61" s="81">
        <v>7</v>
      </c>
      <c r="B61" s="106" t="s">
        <v>94</v>
      </c>
      <c r="C61" s="100" t="s">
        <v>95</v>
      </c>
      <c r="D61" s="101"/>
      <c r="E61" s="101"/>
      <c r="F61" s="64">
        <f>IF($F$6&gt;20000,($F$6-20000)*0.015%+10000*0.03%+5000*0.06%+4000*0.08%+500*0.11%+400*0.14%+100*0.17%,IF($F$6&gt;10000,($F$6-10000)*0.03%+5000*0.06%+4000*0.08%+500*0.11%+400*0.14%+100*0.17%,IF($F$6&gt;5000,($F$6-5000)*0.06%+4000*0.08%+500*0.11%+400*0.14%+100*0.17%,IF($F$6&gt;1000,($F$6-1000)*0.08%+500*0.11%+400*0.14%+100*0.17%,IF($F$6&gt;500,($F$6-500)*0.11%+400*0.14%+100*0.17%,IF($F$6&gt;100,($F$6-100)*0.14%+100*0.17%,$F$6*0.17%))))))+F58*3.5%</f>
        <v>4.57</v>
      </c>
      <c r="G61" s="107" t="s">
        <v>96</v>
      </c>
      <c r="H61" s="108"/>
      <c r="I61" s="108"/>
      <c r="J61" s="109"/>
    </row>
    <row r="62" ht="28.15" customHeight="1" spans="1:10">
      <c r="A62" s="81">
        <v>8</v>
      </c>
      <c r="B62" s="106" t="s">
        <v>97</v>
      </c>
      <c r="C62" s="100"/>
      <c r="D62" s="101"/>
      <c r="E62" s="101"/>
      <c r="F62" s="64">
        <f>IF($F$6&gt;100000,($F$6-100000)*0.008%+50000*0.035%+40000*0.05%+5000*0.2%+4000*0.35%+500*0.55%+400*0.7%+100*1%,IF($F$6&gt;50000,($F$6-50000)*0.035%+40000*0.05%+5000*0.2%+4000*0.35%+500*0.55%+400*0.7%+100*1%,IF($F$6&gt;10000,($F$6-10000)*0.05%+5000*0.2%+4000*0.35%+500*0.55%+400*0.7%+100*1%,IF($F$6&gt;5000,($F$6-5000)*0.2%+4000*0.35%+500*0.55%+400*0.7%+100*1%,IF($F$6&gt;1000,($F$6-1000)*0.35%+500*0.55%+400*0.7%+100*1%,IF($F$6&gt;500,($F$6-500)*0.55%+400*0.7%+100*1%,IF($F$6&gt;100,($F$6-100)*0.7%+100*1%,$F$6*1%)))))))+IF((K62)&gt;100000,((K62)-100000)*0.008%+50000*0.035%+40000*0.05%+5000*0.1%+4000*0.25%+500*0.45%+400*0.8%+100*1.5%,IF((K62)&gt;50000,((K62)-50000)*0.035%+40000*0.05%+5000*0.1%+4000*0.25%+500*0.45%+400*0.8%+100*1.5%,IF((K62)&gt;10000,((K62)-10000)*0.05%+5000*0.1%+4000*0.25%+500*0.45%+400*0.8%+100*1.5%,IF((K62)&gt;5000,((K62)-5000)*0.1%+4000*0.25%+500*0.45%+400*0.8%+100*1.5%,IF((K62)&gt;1000,((K62)-1000)*0.25%+500*0.45%+400*0.8%+100*1.5%,IF((K62)&gt;500,((K62)-500)*0.45%+400*0.8%+100*1.5%,IF((K62)&gt;100,((K62)-100)*0.8%+100*1.5%,(K62)*1.5%)))))))*0.6</f>
        <v>20.38</v>
      </c>
      <c r="G62" s="107" t="s">
        <v>98</v>
      </c>
      <c r="H62" s="108"/>
      <c r="I62" s="108"/>
      <c r="J62" s="109"/>
    </row>
    <row r="63" ht="28.15" customHeight="1" spans="1:10">
      <c r="A63" s="81">
        <v>9</v>
      </c>
      <c r="B63" s="111" t="s">
        <v>99</v>
      </c>
      <c r="C63" s="100"/>
      <c r="D63" s="101"/>
      <c r="E63" s="101"/>
      <c r="F63" s="64">
        <f>285235.2/10000</f>
        <v>28.52</v>
      </c>
      <c r="G63" s="107" t="s">
        <v>89</v>
      </c>
      <c r="H63" s="108"/>
      <c r="I63" s="108"/>
      <c r="J63" s="109"/>
    </row>
    <row r="64" ht="28.15" customHeight="1" spans="1:10">
      <c r="A64" s="81">
        <f t="shared" ref="A59:A71" si="2">A63+1</f>
        <v>10</v>
      </c>
      <c r="B64" s="106" t="s">
        <v>100</v>
      </c>
      <c r="C64" s="100"/>
      <c r="D64" s="101"/>
      <c r="E64" s="101"/>
      <c r="F64" s="64">
        <v>4.2</v>
      </c>
      <c r="G64" s="107" t="s">
        <v>101</v>
      </c>
      <c r="H64" s="108"/>
      <c r="I64" s="108"/>
      <c r="J64" s="109"/>
    </row>
    <row r="65" ht="28.15" customHeight="1" spans="1:10">
      <c r="A65" s="81">
        <f t="shared" si="2"/>
        <v>11</v>
      </c>
      <c r="B65" s="106" t="s">
        <v>102</v>
      </c>
      <c r="C65" s="100"/>
      <c r="D65" s="101"/>
      <c r="E65" s="101"/>
      <c r="F65" s="64">
        <f>14400/10000</f>
        <v>1.44</v>
      </c>
      <c r="G65" s="107" t="s">
        <v>89</v>
      </c>
      <c r="H65" s="108"/>
      <c r="I65" s="108"/>
      <c r="J65" s="109"/>
    </row>
    <row r="66" ht="28.15" customHeight="1" spans="1:10">
      <c r="A66" s="81">
        <f t="shared" si="2"/>
        <v>12</v>
      </c>
      <c r="B66" s="78" t="s">
        <v>103</v>
      </c>
      <c r="C66" s="100"/>
      <c r="D66" s="101"/>
      <c r="E66" s="101"/>
      <c r="F66" s="64">
        <f>F6*0.5%</f>
        <v>24.75</v>
      </c>
      <c r="G66" s="107" t="s">
        <v>104</v>
      </c>
      <c r="H66" s="108"/>
      <c r="I66" s="108"/>
      <c r="J66" s="109"/>
    </row>
    <row r="67" ht="28.15" customHeight="1" spans="1:10">
      <c r="A67" s="81">
        <f t="shared" si="2"/>
        <v>13</v>
      </c>
      <c r="B67" s="106" t="s">
        <v>105</v>
      </c>
      <c r="C67" s="100" t="s">
        <v>106</v>
      </c>
      <c r="D67" s="101"/>
      <c r="E67" s="101"/>
      <c r="F67" s="64">
        <f>$F$6*0.4%</f>
        <v>19.8</v>
      </c>
      <c r="G67" s="107" t="s">
        <v>107</v>
      </c>
      <c r="H67" s="108"/>
      <c r="I67" s="108"/>
      <c r="J67" s="109"/>
    </row>
    <row r="68" s="54" customFormat="1" ht="28.15" customHeight="1" spans="1:10">
      <c r="A68" s="81">
        <f t="shared" si="2"/>
        <v>14</v>
      </c>
      <c r="B68" s="106" t="s">
        <v>108</v>
      </c>
      <c r="C68" s="100" t="s">
        <v>109</v>
      </c>
      <c r="D68" s="101"/>
      <c r="E68" s="101"/>
      <c r="F68" s="64">
        <f>$F$6*0.2%</f>
        <v>9.9</v>
      </c>
      <c r="G68" s="107" t="s">
        <v>110</v>
      </c>
      <c r="H68" s="108"/>
      <c r="I68" s="108"/>
      <c r="J68" s="109"/>
    </row>
    <row r="69" ht="28.15" customHeight="1" spans="1:10">
      <c r="A69" s="81">
        <f t="shared" si="2"/>
        <v>15</v>
      </c>
      <c r="B69" s="106" t="s">
        <v>111</v>
      </c>
      <c r="C69" s="100" t="s">
        <v>112</v>
      </c>
      <c r="D69" s="101"/>
      <c r="E69" s="101"/>
      <c r="F69" s="64">
        <f>$F$6*10%*0.8%</f>
        <v>3.96</v>
      </c>
      <c r="G69" s="107" t="s">
        <v>113</v>
      </c>
      <c r="H69" s="108"/>
      <c r="I69" s="108"/>
      <c r="J69" s="109"/>
    </row>
    <row r="70" ht="28.15" customHeight="1" spans="1:10">
      <c r="A70" s="81">
        <f t="shared" si="2"/>
        <v>16</v>
      </c>
      <c r="B70" s="106" t="s">
        <v>114</v>
      </c>
      <c r="C70" s="100" t="s">
        <v>115</v>
      </c>
      <c r="D70" s="101"/>
      <c r="E70" s="101"/>
      <c r="F70" s="64">
        <f>(E31+E53)*0.015</f>
        <v>35.73</v>
      </c>
      <c r="G70" s="107"/>
      <c r="H70" s="108"/>
      <c r="I70" s="108"/>
      <c r="J70" s="109"/>
    </row>
    <row r="71" ht="28.15" customHeight="1" spans="1:10">
      <c r="A71" s="112" t="s">
        <v>116</v>
      </c>
      <c r="B71" s="113" t="s">
        <v>117</v>
      </c>
      <c r="C71" s="114" t="s">
        <v>118</v>
      </c>
      <c r="D71" s="114"/>
      <c r="E71" s="114"/>
      <c r="F71" s="115">
        <f ca="1">($F$6+F54)*3%</f>
        <v>160.5</v>
      </c>
      <c r="G71" s="70"/>
      <c r="H71" s="70"/>
      <c r="I71" s="70"/>
      <c r="J71" s="70"/>
    </row>
    <row r="72" ht="28.15" customHeight="1" spans="1:10">
      <c r="A72" s="116" t="s">
        <v>119</v>
      </c>
      <c r="B72" s="113" t="s">
        <v>120</v>
      </c>
      <c r="C72" s="100"/>
      <c r="D72" s="101"/>
      <c r="E72" s="101"/>
      <c r="F72" s="115">
        <f ca="1">F6+F54+F71</f>
        <v>5510.65</v>
      </c>
      <c r="G72" s="70"/>
      <c r="H72" s="70"/>
      <c r="I72" s="70"/>
      <c r="J72" s="70"/>
    </row>
  </sheetData>
  <mergeCells count="50">
    <mergeCell ref="A1:J1"/>
    <mergeCell ref="C3:F3"/>
    <mergeCell ref="G3:I3"/>
    <mergeCell ref="C54:E54"/>
    <mergeCell ref="G54:J54"/>
    <mergeCell ref="C55:E55"/>
    <mergeCell ref="G55:J55"/>
    <mergeCell ref="C56:E56"/>
    <mergeCell ref="G56:J56"/>
    <mergeCell ref="G57:J57"/>
    <mergeCell ref="C58:E58"/>
    <mergeCell ref="G58:J58"/>
    <mergeCell ref="C59:E59"/>
    <mergeCell ref="G59:J59"/>
    <mergeCell ref="C60:E60"/>
    <mergeCell ref="G60:J60"/>
    <mergeCell ref="C61:E61"/>
    <mergeCell ref="G61:J61"/>
    <mergeCell ref="C62:E62"/>
    <mergeCell ref="G62:J62"/>
    <mergeCell ref="C63:E63"/>
    <mergeCell ref="G63:J63"/>
    <mergeCell ref="C64:E64"/>
    <mergeCell ref="G64:J64"/>
    <mergeCell ref="C65:E65"/>
    <mergeCell ref="G65:J65"/>
    <mergeCell ref="C66:E66"/>
    <mergeCell ref="G66:J66"/>
    <mergeCell ref="C67:E67"/>
    <mergeCell ref="G67:J67"/>
    <mergeCell ref="C68:E68"/>
    <mergeCell ref="G68:J68"/>
    <mergeCell ref="C69:E69"/>
    <mergeCell ref="G69:J69"/>
    <mergeCell ref="C70:E70"/>
    <mergeCell ref="G70:J70"/>
    <mergeCell ref="C71:E71"/>
    <mergeCell ref="G71:J71"/>
    <mergeCell ref="C72:E72"/>
    <mergeCell ref="G72:J72"/>
    <mergeCell ref="A3:A5"/>
    <mergeCell ref="B3:B5"/>
    <mergeCell ref="C4:C5"/>
    <mergeCell ref="D4:D5"/>
    <mergeCell ref="E4:E5"/>
    <mergeCell ref="F4:F5"/>
    <mergeCell ref="G4:G5"/>
    <mergeCell ref="H4:H5"/>
    <mergeCell ref="I4:I5"/>
    <mergeCell ref="J3:J5"/>
  </mergeCells>
  <printOptions horizontalCentered="1"/>
  <pageMargins left="0.633333333333333" right="0.275" top="0.551181102362205" bottom="0.2" header="0.393700787401575" footer="0.15748031496063"/>
  <pageSetup paperSize="9" scale="84" fitToHeight="0" orientation="landscape"/>
  <headerFooter alignWithMargins="0"/>
  <ignoredErrors>
    <ignoredError sqref="D6"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topLeftCell="A7" workbookViewId="0">
      <selection activeCell="F6" sqref="F6"/>
    </sheetView>
  </sheetViews>
  <sheetFormatPr defaultColWidth="12.5714285714286" defaultRowHeight="13.5"/>
  <cols>
    <col min="1" max="1" width="11.2857142857143" style="120" customWidth="1"/>
    <col min="2" max="2" width="29.1428571428571" style="121" customWidth="1"/>
    <col min="3" max="3" width="15" style="121" customWidth="1"/>
    <col min="4" max="4" width="16.2857142857143" style="122" customWidth="1"/>
    <col min="5" max="5" width="17" style="123" customWidth="1"/>
    <col min="6" max="6" width="17" style="124" customWidth="1"/>
    <col min="7" max="7" width="58.8571428571429" style="121" customWidth="1"/>
    <col min="8" max="8" width="15.8571428571429" style="121" customWidth="1"/>
    <col min="9" max="9" width="16.8571428571429" style="121" customWidth="1"/>
    <col min="10" max="11" width="13.5714285714286" style="121" customWidth="1"/>
    <col min="12" max="256" width="12.5714285714286" style="121"/>
    <col min="257" max="257" width="11.2857142857143" style="121" customWidth="1"/>
    <col min="258" max="258" width="29.1428571428571" style="121" customWidth="1"/>
    <col min="259" max="259" width="15" style="121" customWidth="1"/>
    <col min="260" max="260" width="16.2857142857143" style="121" customWidth="1"/>
    <col min="261" max="262" width="17" style="121" customWidth="1"/>
    <col min="263" max="263" width="88.1428571428571" style="121" customWidth="1"/>
    <col min="264" max="264" width="15.8571428571429" style="121" customWidth="1"/>
    <col min="265" max="265" width="16.8571428571429" style="121" customWidth="1"/>
    <col min="266" max="267" width="13.5714285714286" style="121" customWidth="1"/>
    <col min="268" max="512" width="12.5714285714286" style="121"/>
    <col min="513" max="513" width="11.2857142857143" style="121" customWidth="1"/>
    <col min="514" max="514" width="29.1428571428571" style="121" customWidth="1"/>
    <col min="515" max="515" width="15" style="121" customWidth="1"/>
    <col min="516" max="516" width="16.2857142857143" style="121" customWidth="1"/>
    <col min="517" max="518" width="17" style="121" customWidth="1"/>
    <col min="519" max="519" width="88.1428571428571" style="121" customWidth="1"/>
    <col min="520" max="520" width="15.8571428571429" style="121" customWidth="1"/>
    <col min="521" max="521" width="16.8571428571429" style="121" customWidth="1"/>
    <col min="522" max="523" width="13.5714285714286" style="121" customWidth="1"/>
    <col min="524" max="768" width="12.5714285714286" style="121"/>
    <col min="769" max="769" width="11.2857142857143" style="121" customWidth="1"/>
    <col min="770" max="770" width="29.1428571428571" style="121" customWidth="1"/>
    <col min="771" max="771" width="15" style="121" customWidth="1"/>
    <col min="772" max="772" width="16.2857142857143" style="121" customWidth="1"/>
    <col min="773" max="774" width="17" style="121" customWidth="1"/>
    <col min="775" max="775" width="88.1428571428571" style="121" customWidth="1"/>
    <col min="776" max="776" width="15.8571428571429" style="121" customWidth="1"/>
    <col min="777" max="777" width="16.8571428571429" style="121" customWidth="1"/>
    <col min="778" max="779" width="13.5714285714286" style="121" customWidth="1"/>
    <col min="780" max="1024" width="12.5714285714286" style="121"/>
    <col min="1025" max="1025" width="11.2857142857143" style="121" customWidth="1"/>
    <col min="1026" max="1026" width="29.1428571428571" style="121" customWidth="1"/>
    <col min="1027" max="1027" width="15" style="121" customWidth="1"/>
    <col min="1028" max="1028" width="16.2857142857143" style="121" customWidth="1"/>
    <col min="1029" max="1030" width="17" style="121" customWidth="1"/>
    <col min="1031" max="1031" width="88.1428571428571" style="121" customWidth="1"/>
    <col min="1032" max="1032" width="15.8571428571429" style="121" customWidth="1"/>
    <col min="1033" max="1033" width="16.8571428571429" style="121" customWidth="1"/>
    <col min="1034" max="1035" width="13.5714285714286" style="121" customWidth="1"/>
    <col min="1036" max="1280" width="12.5714285714286" style="121"/>
    <col min="1281" max="1281" width="11.2857142857143" style="121" customWidth="1"/>
    <col min="1282" max="1282" width="29.1428571428571" style="121" customWidth="1"/>
    <col min="1283" max="1283" width="15" style="121" customWidth="1"/>
    <col min="1284" max="1284" width="16.2857142857143" style="121" customWidth="1"/>
    <col min="1285" max="1286" width="17" style="121" customWidth="1"/>
    <col min="1287" max="1287" width="88.1428571428571" style="121" customWidth="1"/>
    <col min="1288" max="1288" width="15.8571428571429" style="121" customWidth="1"/>
    <col min="1289" max="1289" width="16.8571428571429" style="121" customWidth="1"/>
    <col min="1290" max="1291" width="13.5714285714286" style="121" customWidth="1"/>
    <col min="1292" max="1536" width="12.5714285714286" style="121"/>
    <col min="1537" max="1537" width="11.2857142857143" style="121" customWidth="1"/>
    <col min="1538" max="1538" width="29.1428571428571" style="121" customWidth="1"/>
    <col min="1539" max="1539" width="15" style="121" customWidth="1"/>
    <col min="1540" max="1540" width="16.2857142857143" style="121" customWidth="1"/>
    <col min="1541" max="1542" width="17" style="121" customWidth="1"/>
    <col min="1543" max="1543" width="88.1428571428571" style="121" customWidth="1"/>
    <col min="1544" max="1544" width="15.8571428571429" style="121" customWidth="1"/>
    <col min="1545" max="1545" width="16.8571428571429" style="121" customWidth="1"/>
    <col min="1546" max="1547" width="13.5714285714286" style="121" customWidth="1"/>
    <col min="1548" max="1792" width="12.5714285714286" style="121"/>
    <col min="1793" max="1793" width="11.2857142857143" style="121" customWidth="1"/>
    <col min="1794" max="1794" width="29.1428571428571" style="121" customWidth="1"/>
    <col min="1795" max="1795" width="15" style="121" customWidth="1"/>
    <col min="1796" max="1796" width="16.2857142857143" style="121" customWidth="1"/>
    <col min="1797" max="1798" width="17" style="121" customWidth="1"/>
    <col min="1799" max="1799" width="88.1428571428571" style="121" customWidth="1"/>
    <col min="1800" max="1800" width="15.8571428571429" style="121" customWidth="1"/>
    <col min="1801" max="1801" width="16.8571428571429" style="121" customWidth="1"/>
    <col min="1802" max="1803" width="13.5714285714286" style="121" customWidth="1"/>
    <col min="1804" max="2048" width="12.5714285714286" style="121"/>
    <col min="2049" max="2049" width="11.2857142857143" style="121" customWidth="1"/>
    <col min="2050" max="2050" width="29.1428571428571" style="121" customWidth="1"/>
    <col min="2051" max="2051" width="15" style="121" customWidth="1"/>
    <col min="2052" max="2052" width="16.2857142857143" style="121" customWidth="1"/>
    <col min="2053" max="2054" width="17" style="121" customWidth="1"/>
    <col min="2055" max="2055" width="88.1428571428571" style="121" customWidth="1"/>
    <col min="2056" max="2056" width="15.8571428571429" style="121" customWidth="1"/>
    <col min="2057" max="2057" width="16.8571428571429" style="121" customWidth="1"/>
    <col min="2058" max="2059" width="13.5714285714286" style="121" customWidth="1"/>
    <col min="2060" max="2304" width="12.5714285714286" style="121"/>
    <col min="2305" max="2305" width="11.2857142857143" style="121" customWidth="1"/>
    <col min="2306" max="2306" width="29.1428571428571" style="121" customWidth="1"/>
    <col min="2307" max="2307" width="15" style="121" customWidth="1"/>
    <col min="2308" max="2308" width="16.2857142857143" style="121" customWidth="1"/>
    <col min="2309" max="2310" width="17" style="121" customWidth="1"/>
    <col min="2311" max="2311" width="88.1428571428571" style="121" customWidth="1"/>
    <col min="2312" max="2312" width="15.8571428571429" style="121" customWidth="1"/>
    <col min="2313" max="2313" width="16.8571428571429" style="121" customWidth="1"/>
    <col min="2314" max="2315" width="13.5714285714286" style="121" customWidth="1"/>
    <col min="2316" max="2560" width="12.5714285714286" style="121"/>
    <col min="2561" max="2561" width="11.2857142857143" style="121" customWidth="1"/>
    <col min="2562" max="2562" width="29.1428571428571" style="121" customWidth="1"/>
    <col min="2563" max="2563" width="15" style="121" customWidth="1"/>
    <col min="2564" max="2564" width="16.2857142857143" style="121" customWidth="1"/>
    <col min="2565" max="2566" width="17" style="121" customWidth="1"/>
    <col min="2567" max="2567" width="88.1428571428571" style="121" customWidth="1"/>
    <col min="2568" max="2568" width="15.8571428571429" style="121" customWidth="1"/>
    <col min="2569" max="2569" width="16.8571428571429" style="121" customWidth="1"/>
    <col min="2570" max="2571" width="13.5714285714286" style="121" customWidth="1"/>
    <col min="2572" max="2816" width="12.5714285714286" style="121"/>
    <col min="2817" max="2817" width="11.2857142857143" style="121" customWidth="1"/>
    <col min="2818" max="2818" width="29.1428571428571" style="121" customWidth="1"/>
    <col min="2819" max="2819" width="15" style="121" customWidth="1"/>
    <col min="2820" max="2820" width="16.2857142857143" style="121" customWidth="1"/>
    <col min="2821" max="2822" width="17" style="121" customWidth="1"/>
    <col min="2823" max="2823" width="88.1428571428571" style="121" customWidth="1"/>
    <col min="2824" max="2824" width="15.8571428571429" style="121" customWidth="1"/>
    <col min="2825" max="2825" width="16.8571428571429" style="121" customWidth="1"/>
    <col min="2826" max="2827" width="13.5714285714286" style="121" customWidth="1"/>
    <col min="2828" max="3072" width="12.5714285714286" style="121"/>
    <col min="3073" max="3073" width="11.2857142857143" style="121" customWidth="1"/>
    <col min="3074" max="3074" width="29.1428571428571" style="121" customWidth="1"/>
    <col min="3075" max="3075" width="15" style="121" customWidth="1"/>
    <col min="3076" max="3076" width="16.2857142857143" style="121" customWidth="1"/>
    <col min="3077" max="3078" width="17" style="121" customWidth="1"/>
    <col min="3079" max="3079" width="88.1428571428571" style="121" customWidth="1"/>
    <col min="3080" max="3080" width="15.8571428571429" style="121" customWidth="1"/>
    <col min="3081" max="3081" width="16.8571428571429" style="121" customWidth="1"/>
    <col min="3082" max="3083" width="13.5714285714286" style="121" customWidth="1"/>
    <col min="3084" max="3328" width="12.5714285714286" style="121"/>
    <col min="3329" max="3329" width="11.2857142857143" style="121" customWidth="1"/>
    <col min="3330" max="3330" width="29.1428571428571" style="121" customWidth="1"/>
    <col min="3331" max="3331" width="15" style="121" customWidth="1"/>
    <col min="3332" max="3332" width="16.2857142857143" style="121" customWidth="1"/>
    <col min="3333" max="3334" width="17" style="121" customWidth="1"/>
    <col min="3335" max="3335" width="88.1428571428571" style="121" customWidth="1"/>
    <col min="3336" max="3336" width="15.8571428571429" style="121" customWidth="1"/>
    <col min="3337" max="3337" width="16.8571428571429" style="121" customWidth="1"/>
    <col min="3338" max="3339" width="13.5714285714286" style="121" customWidth="1"/>
    <col min="3340" max="3584" width="12.5714285714286" style="121"/>
    <col min="3585" max="3585" width="11.2857142857143" style="121" customWidth="1"/>
    <col min="3586" max="3586" width="29.1428571428571" style="121" customWidth="1"/>
    <col min="3587" max="3587" width="15" style="121" customWidth="1"/>
    <col min="3588" max="3588" width="16.2857142857143" style="121" customWidth="1"/>
    <col min="3589" max="3590" width="17" style="121" customWidth="1"/>
    <col min="3591" max="3591" width="88.1428571428571" style="121" customWidth="1"/>
    <col min="3592" max="3592" width="15.8571428571429" style="121" customWidth="1"/>
    <col min="3593" max="3593" width="16.8571428571429" style="121" customWidth="1"/>
    <col min="3594" max="3595" width="13.5714285714286" style="121" customWidth="1"/>
    <col min="3596" max="3840" width="12.5714285714286" style="121"/>
    <col min="3841" max="3841" width="11.2857142857143" style="121" customWidth="1"/>
    <col min="3842" max="3842" width="29.1428571428571" style="121" customWidth="1"/>
    <col min="3843" max="3843" width="15" style="121" customWidth="1"/>
    <col min="3844" max="3844" width="16.2857142857143" style="121" customWidth="1"/>
    <col min="3845" max="3846" width="17" style="121" customWidth="1"/>
    <col min="3847" max="3847" width="88.1428571428571" style="121" customWidth="1"/>
    <col min="3848" max="3848" width="15.8571428571429" style="121" customWidth="1"/>
    <col min="3849" max="3849" width="16.8571428571429" style="121" customWidth="1"/>
    <col min="3850" max="3851" width="13.5714285714286" style="121" customWidth="1"/>
    <col min="3852" max="4096" width="12.5714285714286" style="121"/>
    <col min="4097" max="4097" width="11.2857142857143" style="121" customWidth="1"/>
    <col min="4098" max="4098" width="29.1428571428571" style="121" customWidth="1"/>
    <col min="4099" max="4099" width="15" style="121" customWidth="1"/>
    <col min="4100" max="4100" width="16.2857142857143" style="121" customWidth="1"/>
    <col min="4101" max="4102" width="17" style="121" customWidth="1"/>
    <col min="4103" max="4103" width="88.1428571428571" style="121" customWidth="1"/>
    <col min="4104" max="4104" width="15.8571428571429" style="121" customWidth="1"/>
    <col min="4105" max="4105" width="16.8571428571429" style="121" customWidth="1"/>
    <col min="4106" max="4107" width="13.5714285714286" style="121" customWidth="1"/>
    <col min="4108" max="4352" width="12.5714285714286" style="121"/>
    <col min="4353" max="4353" width="11.2857142857143" style="121" customWidth="1"/>
    <col min="4354" max="4354" width="29.1428571428571" style="121" customWidth="1"/>
    <col min="4355" max="4355" width="15" style="121" customWidth="1"/>
    <col min="4356" max="4356" width="16.2857142857143" style="121" customWidth="1"/>
    <col min="4357" max="4358" width="17" style="121" customWidth="1"/>
    <col min="4359" max="4359" width="88.1428571428571" style="121" customWidth="1"/>
    <col min="4360" max="4360" width="15.8571428571429" style="121" customWidth="1"/>
    <col min="4361" max="4361" width="16.8571428571429" style="121" customWidth="1"/>
    <col min="4362" max="4363" width="13.5714285714286" style="121" customWidth="1"/>
    <col min="4364" max="4608" width="12.5714285714286" style="121"/>
    <col min="4609" max="4609" width="11.2857142857143" style="121" customWidth="1"/>
    <col min="4610" max="4610" width="29.1428571428571" style="121" customWidth="1"/>
    <col min="4611" max="4611" width="15" style="121" customWidth="1"/>
    <col min="4612" max="4612" width="16.2857142857143" style="121" customWidth="1"/>
    <col min="4613" max="4614" width="17" style="121" customWidth="1"/>
    <col min="4615" max="4615" width="88.1428571428571" style="121" customWidth="1"/>
    <col min="4616" max="4616" width="15.8571428571429" style="121" customWidth="1"/>
    <col min="4617" max="4617" width="16.8571428571429" style="121" customWidth="1"/>
    <col min="4618" max="4619" width="13.5714285714286" style="121" customWidth="1"/>
    <col min="4620" max="4864" width="12.5714285714286" style="121"/>
    <col min="4865" max="4865" width="11.2857142857143" style="121" customWidth="1"/>
    <col min="4866" max="4866" width="29.1428571428571" style="121" customWidth="1"/>
    <col min="4867" max="4867" width="15" style="121" customWidth="1"/>
    <col min="4868" max="4868" width="16.2857142857143" style="121" customWidth="1"/>
    <col min="4869" max="4870" width="17" style="121" customWidth="1"/>
    <col min="4871" max="4871" width="88.1428571428571" style="121" customWidth="1"/>
    <col min="4872" max="4872" width="15.8571428571429" style="121" customWidth="1"/>
    <col min="4873" max="4873" width="16.8571428571429" style="121" customWidth="1"/>
    <col min="4874" max="4875" width="13.5714285714286" style="121" customWidth="1"/>
    <col min="4876" max="5120" width="12.5714285714286" style="121"/>
    <col min="5121" max="5121" width="11.2857142857143" style="121" customWidth="1"/>
    <col min="5122" max="5122" width="29.1428571428571" style="121" customWidth="1"/>
    <col min="5123" max="5123" width="15" style="121" customWidth="1"/>
    <col min="5124" max="5124" width="16.2857142857143" style="121" customWidth="1"/>
    <col min="5125" max="5126" width="17" style="121" customWidth="1"/>
    <col min="5127" max="5127" width="88.1428571428571" style="121" customWidth="1"/>
    <col min="5128" max="5128" width="15.8571428571429" style="121" customWidth="1"/>
    <col min="5129" max="5129" width="16.8571428571429" style="121" customWidth="1"/>
    <col min="5130" max="5131" width="13.5714285714286" style="121" customWidth="1"/>
    <col min="5132" max="5376" width="12.5714285714286" style="121"/>
    <col min="5377" max="5377" width="11.2857142857143" style="121" customWidth="1"/>
    <col min="5378" max="5378" width="29.1428571428571" style="121" customWidth="1"/>
    <col min="5379" max="5379" width="15" style="121" customWidth="1"/>
    <col min="5380" max="5380" width="16.2857142857143" style="121" customWidth="1"/>
    <col min="5381" max="5382" width="17" style="121" customWidth="1"/>
    <col min="5383" max="5383" width="88.1428571428571" style="121" customWidth="1"/>
    <col min="5384" max="5384" width="15.8571428571429" style="121" customWidth="1"/>
    <col min="5385" max="5385" width="16.8571428571429" style="121" customWidth="1"/>
    <col min="5386" max="5387" width="13.5714285714286" style="121" customWidth="1"/>
    <col min="5388" max="5632" width="12.5714285714286" style="121"/>
    <col min="5633" max="5633" width="11.2857142857143" style="121" customWidth="1"/>
    <col min="5634" max="5634" width="29.1428571428571" style="121" customWidth="1"/>
    <col min="5635" max="5635" width="15" style="121" customWidth="1"/>
    <col min="5636" max="5636" width="16.2857142857143" style="121" customWidth="1"/>
    <col min="5637" max="5638" width="17" style="121" customWidth="1"/>
    <col min="5639" max="5639" width="88.1428571428571" style="121" customWidth="1"/>
    <col min="5640" max="5640" width="15.8571428571429" style="121" customWidth="1"/>
    <col min="5641" max="5641" width="16.8571428571429" style="121" customWidth="1"/>
    <col min="5642" max="5643" width="13.5714285714286" style="121" customWidth="1"/>
    <col min="5644" max="5888" width="12.5714285714286" style="121"/>
    <col min="5889" max="5889" width="11.2857142857143" style="121" customWidth="1"/>
    <col min="5890" max="5890" width="29.1428571428571" style="121" customWidth="1"/>
    <col min="5891" max="5891" width="15" style="121" customWidth="1"/>
    <col min="5892" max="5892" width="16.2857142857143" style="121" customWidth="1"/>
    <col min="5893" max="5894" width="17" style="121" customWidth="1"/>
    <col min="5895" max="5895" width="88.1428571428571" style="121" customWidth="1"/>
    <col min="5896" max="5896" width="15.8571428571429" style="121" customWidth="1"/>
    <col min="5897" max="5897" width="16.8571428571429" style="121" customWidth="1"/>
    <col min="5898" max="5899" width="13.5714285714286" style="121" customWidth="1"/>
    <col min="5900" max="6144" width="12.5714285714286" style="121"/>
    <col min="6145" max="6145" width="11.2857142857143" style="121" customWidth="1"/>
    <col min="6146" max="6146" width="29.1428571428571" style="121" customWidth="1"/>
    <col min="6147" max="6147" width="15" style="121" customWidth="1"/>
    <col min="6148" max="6148" width="16.2857142857143" style="121" customWidth="1"/>
    <col min="6149" max="6150" width="17" style="121" customWidth="1"/>
    <col min="6151" max="6151" width="88.1428571428571" style="121" customWidth="1"/>
    <col min="6152" max="6152" width="15.8571428571429" style="121" customWidth="1"/>
    <col min="6153" max="6153" width="16.8571428571429" style="121" customWidth="1"/>
    <col min="6154" max="6155" width="13.5714285714286" style="121" customWidth="1"/>
    <col min="6156" max="6400" width="12.5714285714286" style="121"/>
    <col min="6401" max="6401" width="11.2857142857143" style="121" customWidth="1"/>
    <col min="6402" max="6402" width="29.1428571428571" style="121" customWidth="1"/>
    <col min="6403" max="6403" width="15" style="121" customWidth="1"/>
    <col min="6404" max="6404" width="16.2857142857143" style="121" customWidth="1"/>
    <col min="6405" max="6406" width="17" style="121" customWidth="1"/>
    <col min="6407" max="6407" width="88.1428571428571" style="121" customWidth="1"/>
    <col min="6408" max="6408" width="15.8571428571429" style="121" customWidth="1"/>
    <col min="6409" max="6409" width="16.8571428571429" style="121" customWidth="1"/>
    <col min="6410" max="6411" width="13.5714285714286" style="121" customWidth="1"/>
    <col min="6412" max="6656" width="12.5714285714286" style="121"/>
    <col min="6657" max="6657" width="11.2857142857143" style="121" customWidth="1"/>
    <col min="6658" max="6658" width="29.1428571428571" style="121" customWidth="1"/>
    <col min="6659" max="6659" width="15" style="121" customWidth="1"/>
    <col min="6660" max="6660" width="16.2857142857143" style="121" customWidth="1"/>
    <col min="6661" max="6662" width="17" style="121" customWidth="1"/>
    <col min="6663" max="6663" width="88.1428571428571" style="121" customWidth="1"/>
    <col min="6664" max="6664" width="15.8571428571429" style="121" customWidth="1"/>
    <col min="6665" max="6665" width="16.8571428571429" style="121" customWidth="1"/>
    <col min="6666" max="6667" width="13.5714285714286" style="121" customWidth="1"/>
    <col min="6668" max="6912" width="12.5714285714286" style="121"/>
    <col min="6913" max="6913" width="11.2857142857143" style="121" customWidth="1"/>
    <col min="6914" max="6914" width="29.1428571428571" style="121" customWidth="1"/>
    <col min="6915" max="6915" width="15" style="121" customWidth="1"/>
    <col min="6916" max="6916" width="16.2857142857143" style="121" customWidth="1"/>
    <col min="6917" max="6918" width="17" style="121" customWidth="1"/>
    <col min="6919" max="6919" width="88.1428571428571" style="121" customWidth="1"/>
    <col min="6920" max="6920" width="15.8571428571429" style="121" customWidth="1"/>
    <col min="6921" max="6921" width="16.8571428571429" style="121" customWidth="1"/>
    <col min="6922" max="6923" width="13.5714285714286" style="121" customWidth="1"/>
    <col min="6924" max="7168" width="12.5714285714286" style="121"/>
    <col min="7169" max="7169" width="11.2857142857143" style="121" customWidth="1"/>
    <col min="7170" max="7170" width="29.1428571428571" style="121" customWidth="1"/>
    <col min="7171" max="7171" width="15" style="121" customWidth="1"/>
    <col min="7172" max="7172" width="16.2857142857143" style="121" customWidth="1"/>
    <col min="7173" max="7174" width="17" style="121" customWidth="1"/>
    <col min="7175" max="7175" width="88.1428571428571" style="121" customWidth="1"/>
    <col min="7176" max="7176" width="15.8571428571429" style="121" customWidth="1"/>
    <col min="7177" max="7177" width="16.8571428571429" style="121" customWidth="1"/>
    <col min="7178" max="7179" width="13.5714285714286" style="121" customWidth="1"/>
    <col min="7180" max="7424" width="12.5714285714286" style="121"/>
    <col min="7425" max="7425" width="11.2857142857143" style="121" customWidth="1"/>
    <col min="7426" max="7426" width="29.1428571428571" style="121" customWidth="1"/>
    <col min="7427" max="7427" width="15" style="121" customWidth="1"/>
    <col min="7428" max="7428" width="16.2857142857143" style="121" customWidth="1"/>
    <col min="7429" max="7430" width="17" style="121" customWidth="1"/>
    <col min="7431" max="7431" width="88.1428571428571" style="121" customWidth="1"/>
    <col min="7432" max="7432" width="15.8571428571429" style="121" customWidth="1"/>
    <col min="7433" max="7433" width="16.8571428571429" style="121" customWidth="1"/>
    <col min="7434" max="7435" width="13.5714285714286" style="121" customWidth="1"/>
    <col min="7436" max="7680" width="12.5714285714286" style="121"/>
    <col min="7681" max="7681" width="11.2857142857143" style="121" customWidth="1"/>
    <col min="7682" max="7682" width="29.1428571428571" style="121" customWidth="1"/>
    <col min="7683" max="7683" width="15" style="121" customWidth="1"/>
    <col min="7684" max="7684" width="16.2857142857143" style="121" customWidth="1"/>
    <col min="7685" max="7686" width="17" style="121" customWidth="1"/>
    <col min="7687" max="7687" width="88.1428571428571" style="121" customWidth="1"/>
    <col min="7688" max="7688" width="15.8571428571429" style="121" customWidth="1"/>
    <col min="7689" max="7689" width="16.8571428571429" style="121" customWidth="1"/>
    <col min="7690" max="7691" width="13.5714285714286" style="121" customWidth="1"/>
    <col min="7692" max="7936" width="12.5714285714286" style="121"/>
    <col min="7937" max="7937" width="11.2857142857143" style="121" customWidth="1"/>
    <col min="7938" max="7938" width="29.1428571428571" style="121" customWidth="1"/>
    <col min="7939" max="7939" width="15" style="121" customWidth="1"/>
    <col min="7940" max="7940" width="16.2857142857143" style="121" customWidth="1"/>
    <col min="7941" max="7942" width="17" style="121" customWidth="1"/>
    <col min="7943" max="7943" width="88.1428571428571" style="121" customWidth="1"/>
    <col min="7944" max="7944" width="15.8571428571429" style="121" customWidth="1"/>
    <col min="7945" max="7945" width="16.8571428571429" style="121" customWidth="1"/>
    <col min="7946" max="7947" width="13.5714285714286" style="121" customWidth="1"/>
    <col min="7948" max="8192" width="12.5714285714286" style="121"/>
    <col min="8193" max="8193" width="11.2857142857143" style="121" customWidth="1"/>
    <col min="8194" max="8194" width="29.1428571428571" style="121" customWidth="1"/>
    <col min="8195" max="8195" width="15" style="121" customWidth="1"/>
    <col min="8196" max="8196" width="16.2857142857143" style="121" customWidth="1"/>
    <col min="8197" max="8198" width="17" style="121" customWidth="1"/>
    <col min="8199" max="8199" width="88.1428571428571" style="121" customWidth="1"/>
    <col min="8200" max="8200" width="15.8571428571429" style="121" customWidth="1"/>
    <col min="8201" max="8201" width="16.8571428571429" style="121" customWidth="1"/>
    <col min="8202" max="8203" width="13.5714285714286" style="121" customWidth="1"/>
    <col min="8204" max="8448" width="12.5714285714286" style="121"/>
    <col min="8449" max="8449" width="11.2857142857143" style="121" customWidth="1"/>
    <col min="8450" max="8450" width="29.1428571428571" style="121" customWidth="1"/>
    <col min="8451" max="8451" width="15" style="121" customWidth="1"/>
    <col min="8452" max="8452" width="16.2857142857143" style="121" customWidth="1"/>
    <col min="8453" max="8454" width="17" style="121" customWidth="1"/>
    <col min="8455" max="8455" width="88.1428571428571" style="121" customWidth="1"/>
    <col min="8456" max="8456" width="15.8571428571429" style="121" customWidth="1"/>
    <col min="8457" max="8457" width="16.8571428571429" style="121" customWidth="1"/>
    <col min="8458" max="8459" width="13.5714285714286" style="121" customWidth="1"/>
    <col min="8460" max="8704" width="12.5714285714286" style="121"/>
    <col min="8705" max="8705" width="11.2857142857143" style="121" customWidth="1"/>
    <col min="8706" max="8706" width="29.1428571428571" style="121" customWidth="1"/>
    <col min="8707" max="8707" width="15" style="121" customWidth="1"/>
    <col min="8708" max="8708" width="16.2857142857143" style="121" customWidth="1"/>
    <col min="8709" max="8710" width="17" style="121" customWidth="1"/>
    <col min="8711" max="8711" width="88.1428571428571" style="121" customWidth="1"/>
    <col min="8712" max="8712" width="15.8571428571429" style="121" customWidth="1"/>
    <col min="8713" max="8713" width="16.8571428571429" style="121" customWidth="1"/>
    <col min="8714" max="8715" width="13.5714285714286" style="121" customWidth="1"/>
    <col min="8716" max="8960" width="12.5714285714286" style="121"/>
    <col min="8961" max="8961" width="11.2857142857143" style="121" customWidth="1"/>
    <col min="8962" max="8962" width="29.1428571428571" style="121" customWidth="1"/>
    <col min="8963" max="8963" width="15" style="121" customWidth="1"/>
    <col min="8964" max="8964" width="16.2857142857143" style="121" customWidth="1"/>
    <col min="8965" max="8966" width="17" style="121" customWidth="1"/>
    <col min="8967" max="8967" width="88.1428571428571" style="121" customWidth="1"/>
    <col min="8968" max="8968" width="15.8571428571429" style="121" customWidth="1"/>
    <col min="8969" max="8969" width="16.8571428571429" style="121" customWidth="1"/>
    <col min="8970" max="8971" width="13.5714285714286" style="121" customWidth="1"/>
    <col min="8972" max="9216" width="12.5714285714286" style="121"/>
    <col min="9217" max="9217" width="11.2857142857143" style="121" customWidth="1"/>
    <col min="9218" max="9218" width="29.1428571428571" style="121" customWidth="1"/>
    <col min="9219" max="9219" width="15" style="121" customWidth="1"/>
    <col min="9220" max="9220" width="16.2857142857143" style="121" customWidth="1"/>
    <col min="9221" max="9222" width="17" style="121" customWidth="1"/>
    <col min="9223" max="9223" width="88.1428571428571" style="121" customWidth="1"/>
    <col min="9224" max="9224" width="15.8571428571429" style="121" customWidth="1"/>
    <col min="9225" max="9225" width="16.8571428571429" style="121" customWidth="1"/>
    <col min="9226" max="9227" width="13.5714285714286" style="121" customWidth="1"/>
    <col min="9228" max="9472" width="12.5714285714286" style="121"/>
    <col min="9473" max="9473" width="11.2857142857143" style="121" customWidth="1"/>
    <col min="9474" max="9474" width="29.1428571428571" style="121" customWidth="1"/>
    <col min="9475" max="9475" width="15" style="121" customWidth="1"/>
    <col min="9476" max="9476" width="16.2857142857143" style="121" customWidth="1"/>
    <col min="9477" max="9478" width="17" style="121" customWidth="1"/>
    <col min="9479" max="9479" width="88.1428571428571" style="121" customWidth="1"/>
    <col min="9480" max="9480" width="15.8571428571429" style="121" customWidth="1"/>
    <col min="9481" max="9481" width="16.8571428571429" style="121" customWidth="1"/>
    <col min="9482" max="9483" width="13.5714285714286" style="121" customWidth="1"/>
    <col min="9484" max="9728" width="12.5714285714286" style="121"/>
    <col min="9729" max="9729" width="11.2857142857143" style="121" customWidth="1"/>
    <col min="9730" max="9730" width="29.1428571428571" style="121" customWidth="1"/>
    <col min="9731" max="9731" width="15" style="121" customWidth="1"/>
    <col min="9732" max="9732" width="16.2857142857143" style="121" customWidth="1"/>
    <col min="9733" max="9734" width="17" style="121" customWidth="1"/>
    <col min="9735" max="9735" width="88.1428571428571" style="121" customWidth="1"/>
    <col min="9736" max="9736" width="15.8571428571429" style="121" customWidth="1"/>
    <col min="9737" max="9737" width="16.8571428571429" style="121" customWidth="1"/>
    <col min="9738" max="9739" width="13.5714285714286" style="121" customWidth="1"/>
    <col min="9740" max="9984" width="12.5714285714286" style="121"/>
    <col min="9985" max="9985" width="11.2857142857143" style="121" customWidth="1"/>
    <col min="9986" max="9986" width="29.1428571428571" style="121" customWidth="1"/>
    <col min="9987" max="9987" width="15" style="121" customWidth="1"/>
    <col min="9988" max="9988" width="16.2857142857143" style="121" customWidth="1"/>
    <col min="9989" max="9990" width="17" style="121" customWidth="1"/>
    <col min="9991" max="9991" width="88.1428571428571" style="121" customWidth="1"/>
    <col min="9992" max="9992" width="15.8571428571429" style="121" customWidth="1"/>
    <col min="9993" max="9993" width="16.8571428571429" style="121" customWidth="1"/>
    <col min="9994" max="9995" width="13.5714285714286" style="121" customWidth="1"/>
    <col min="9996" max="10240" width="12.5714285714286" style="121"/>
    <col min="10241" max="10241" width="11.2857142857143" style="121" customWidth="1"/>
    <col min="10242" max="10242" width="29.1428571428571" style="121" customWidth="1"/>
    <col min="10243" max="10243" width="15" style="121" customWidth="1"/>
    <col min="10244" max="10244" width="16.2857142857143" style="121" customWidth="1"/>
    <col min="10245" max="10246" width="17" style="121" customWidth="1"/>
    <col min="10247" max="10247" width="88.1428571428571" style="121" customWidth="1"/>
    <col min="10248" max="10248" width="15.8571428571429" style="121" customWidth="1"/>
    <col min="10249" max="10249" width="16.8571428571429" style="121" customWidth="1"/>
    <col min="10250" max="10251" width="13.5714285714286" style="121" customWidth="1"/>
    <col min="10252" max="10496" width="12.5714285714286" style="121"/>
    <col min="10497" max="10497" width="11.2857142857143" style="121" customWidth="1"/>
    <col min="10498" max="10498" width="29.1428571428571" style="121" customWidth="1"/>
    <col min="10499" max="10499" width="15" style="121" customWidth="1"/>
    <col min="10500" max="10500" width="16.2857142857143" style="121" customWidth="1"/>
    <col min="10501" max="10502" width="17" style="121" customWidth="1"/>
    <col min="10503" max="10503" width="88.1428571428571" style="121" customWidth="1"/>
    <col min="10504" max="10504" width="15.8571428571429" style="121" customWidth="1"/>
    <col min="10505" max="10505" width="16.8571428571429" style="121" customWidth="1"/>
    <col min="10506" max="10507" width="13.5714285714286" style="121" customWidth="1"/>
    <col min="10508" max="10752" width="12.5714285714286" style="121"/>
    <col min="10753" max="10753" width="11.2857142857143" style="121" customWidth="1"/>
    <col min="10754" max="10754" width="29.1428571428571" style="121" customWidth="1"/>
    <col min="10755" max="10755" width="15" style="121" customWidth="1"/>
    <col min="10756" max="10756" width="16.2857142857143" style="121" customWidth="1"/>
    <col min="10757" max="10758" width="17" style="121" customWidth="1"/>
    <col min="10759" max="10759" width="88.1428571428571" style="121" customWidth="1"/>
    <col min="10760" max="10760" width="15.8571428571429" style="121" customWidth="1"/>
    <col min="10761" max="10761" width="16.8571428571429" style="121" customWidth="1"/>
    <col min="10762" max="10763" width="13.5714285714286" style="121" customWidth="1"/>
    <col min="10764" max="11008" width="12.5714285714286" style="121"/>
    <col min="11009" max="11009" width="11.2857142857143" style="121" customWidth="1"/>
    <col min="11010" max="11010" width="29.1428571428571" style="121" customWidth="1"/>
    <col min="11011" max="11011" width="15" style="121" customWidth="1"/>
    <col min="11012" max="11012" width="16.2857142857143" style="121" customWidth="1"/>
    <col min="11013" max="11014" width="17" style="121" customWidth="1"/>
    <col min="11015" max="11015" width="88.1428571428571" style="121" customWidth="1"/>
    <col min="11016" max="11016" width="15.8571428571429" style="121" customWidth="1"/>
    <col min="11017" max="11017" width="16.8571428571429" style="121" customWidth="1"/>
    <col min="11018" max="11019" width="13.5714285714286" style="121" customWidth="1"/>
    <col min="11020" max="11264" width="12.5714285714286" style="121"/>
    <col min="11265" max="11265" width="11.2857142857143" style="121" customWidth="1"/>
    <col min="11266" max="11266" width="29.1428571428571" style="121" customWidth="1"/>
    <col min="11267" max="11267" width="15" style="121" customWidth="1"/>
    <col min="11268" max="11268" width="16.2857142857143" style="121" customWidth="1"/>
    <col min="11269" max="11270" width="17" style="121" customWidth="1"/>
    <col min="11271" max="11271" width="88.1428571428571" style="121" customWidth="1"/>
    <col min="11272" max="11272" width="15.8571428571429" style="121" customWidth="1"/>
    <col min="11273" max="11273" width="16.8571428571429" style="121" customWidth="1"/>
    <col min="11274" max="11275" width="13.5714285714286" style="121" customWidth="1"/>
    <col min="11276" max="11520" width="12.5714285714286" style="121"/>
    <col min="11521" max="11521" width="11.2857142857143" style="121" customWidth="1"/>
    <col min="11522" max="11522" width="29.1428571428571" style="121" customWidth="1"/>
    <col min="11523" max="11523" width="15" style="121" customWidth="1"/>
    <col min="11524" max="11524" width="16.2857142857143" style="121" customWidth="1"/>
    <col min="11525" max="11526" width="17" style="121" customWidth="1"/>
    <col min="11527" max="11527" width="88.1428571428571" style="121" customWidth="1"/>
    <col min="11528" max="11528" width="15.8571428571429" style="121" customWidth="1"/>
    <col min="11529" max="11529" width="16.8571428571429" style="121" customWidth="1"/>
    <col min="11530" max="11531" width="13.5714285714286" style="121" customWidth="1"/>
    <col min="11532" max="11776" width="12.5714285714286" style="121"/>
    <col min="11777" max="11777" width="11.2857142857143" style="121" customWidth="1"/>
    <col min="11778" max="11778" width="29.1428571428571" style="121" customWidth="1"/>
    <col min="11779" max="11779" width="15" style="121" customWidth="1"/>
    <col min="11780" max="11780" width="16.2857142857143" style="121" customWidth="1"/>
    <col min="11781" max="11782" width="17" style="121" customWidth="1"/>
    <col min="11783" max="11783" width="88.1428571428571" style="121" customWidth="1"/>
    <col min="11784" max="11784" width="15.8571428571429" style="121" customWidth="1"/>
    <col min="11785" max="11785" width="16.8571428571429" style="121" customWidth="1"/>
    <col min="11786" max="11787" width="13.5714285714286" style="121" customWidth="1"/>
    <col min="11788" max="12032" width="12.5714285714286" style="121"/>
    <col min="12033" max="12033" width="11.2857142857143" style="121" customWidth="1"/>
    <col min="12034" max="12034" width="29.1428571428571" style="121" customWidth="1"/>
    <col min="12035" max="12035" width="15" style="121" customWidth="1"/>
    <col min="12036" max="12036" width="16.2857142857143" style="121" customWidth="1"/>
    <col min="12037" max="12038" width="17" style="121" customWidth="1"/>
    <col min="12039" max="12039" width="88.1428571428571" style="121" customWidth="1"/>
    <col min="12040" max="12040" width="15.8571428571429" style="121" customWidth="1"/>
    <col min="12041" max="12041" width="16.8571428571429" style="121" customWidth="1"/>
    <col min="12042" max="12043" width="13.5714285714286" style="121" customWidth="1"/>
    <col min="12044" max="12288" width="12.5714285714286" style="121"/>
    <col min="12289" max="12289" width="11.2857142857143" style="121" customWidth="1"/>
    <col min="12290" max="12290" width="29.1428571428571" style="121" customWidth="1"/>
    <col min="12291" max="12291" width="15" style="121" customWidth="1"/>
    <col min="12292" max="12292" width="16.2857142857143" style="121" customWidth="1"/>
    <col min="12293" max="12294" width="17" style="121" customWidth="1"/>
    <col min="12295" max="12295" width="88.1428571428571" style="121" customWidth="1"/>
    <col min="12296" max="12296" width="15.8571428571429" style="121" customWidth="1"/>
    <col min="12297" max="12297" width="16.8571428571429" style="121" customWidth="1"/>
    <col min="12298" max="12299" width="13.5714285714286" style="121" customWidth="1"/>
    <col min="12300" max="12544" width="12.5714285714286" style="121"/>
    <col min="12545" max="12545" width="11.2857142857143" style="121" customWidth="1"/>
    <col min="12546" max="12546" width="29.1428571428571" style="121" customWidth="1"/>
    <col min="12547" max="12547" width="15" style="121" customWidth="1"/>
    <col min="12548" max="12548" width="16.2857142857143" style="121" customWidth="1"/>
    <col min="12549" max="12550" width="17" style="121" customWidth="1"/>
    <col min="12551" max="12551" width="88.1428571428571" style="121" customWidth="1"/>
    <col min="12552" max="12552" width="15.8571428571429" style="121" customWidth="1"/>
    <col min="12553" max="12553" width="16.8571428571429" style="121" customWidth="1"/>
    <col min="12554" max="12555" width="13.5714285714286" style="121" customWidth="1"/>
    <col min="12556" max="12800" width="12.5714285714286" style="121"/>
    <col min="12801" max="12801" width="11.2857142857143" style="121" customWidth="1"/>
    <col min="12802" max="12802" width="29.1428571428571" style="121" customWidth="1"/>
    <col min="12803" max="12803" width="15" style="121" customWidth="1"/>
    <col min="12804" max="12804" width="16.2857142857143" style="121" customWidth="1"/>
    <col min="12805" max="12806" width="17" style="121" customWidth="1"/>
    <col min="12807" max="12807" width="88.1428571428571" style="121" customWidth="1"/>
    <col min="12808" max="12808" width="15.8571428571429" style="121" customWidth="1"/>
    <col min="12809" max="12809" width="16.8571428571429" style="121" customWidth="1"/>
    <col min="12810" max="12811" width="13.5714285714286" style="121" customWidth="1"/>
    <col min="12812" max="13056" width="12.5714285714286" style="121"/>
    <col min="13057" max="13057" width="11.2857142857143" style="121" customWidth="1"/>
    <col min="13058" max="13058" width="29.1428571428571" style="121" customWidth="1"/>
    <col min="13059" max="13059" width="15" style="121" customWidth="1"/>
    <col min="13060" max="13060" width="16.2857142857143" style="121" customWidth="1"/>
    <col min="13061" max="13062" width="17" style="121" customWidth="1"/>
    <col min="13063" max="13063" width="88.1428571428571" style="121" customWidth="1"/>
    <col min="13064" max="13064" width="15.8571428571429" style="121" customWidth="1"/>
    <col min="13065" max="13065" width="16.8571428571429" style="121" customWidth="1"/>
    <col min="13066" max="13067" width="13.5714285714286" style="121" customWidth="1"/>
    <col min="13068" max="13312" width="12.5714285714286" style="121"/>
    <col min="13313" max="13313" width="11.2857142857143" style="121" customWidth="1"/>
    <col min="13314" max="13314" width="29.1428571428571" style="121" customWidth="1"/>
    <col min="13315" max="13315" width="15" style="121" customWidth="1"/>
    <col min="13316" max="13316" width="16.2857142857143" style="121" customWidth="1"/>
    <col min="13317" max="13318" width="17" style="121" customWidth="1"/>
    <col min="13319" max="13319" width="88.1428571428571" style="121" customWidth="1"/>
    <col min="13320" max="13320" width="15.8571428571429" style="121" customWidth="1"/>
    <col min="13321" max="13321" width="16.8571428571429" style="121" customWidth="1"/>
    <col min="13322" max="13323" width="13.5714285714286" style="121" customWidth="1"/>
    <col min="13324" max="13568" width="12.5714285714286" style="121"/>
    <col min="13569" max="13569" width="11.2857142857143" style="121" customWidth="1"/>
    <col min="13570" max="13570" width="29.1428571428571" style="121" customWidth="1"/>
    <col min="13571" max="13571" width="15" style="121" customWidth="1"/>
    <col min="13572" max="13572" width="16.2857142857143" style="121" customWidth="1"/>
    <col min="13573" max="13574" width="17" style="121" customWidth="1"/>
    <col min="13575" max="13575" width="88.1428571428571" style="121" customWidth="1"/>
    <col min="13576" max="13576" width="15.8571428571429" style="121" customWidth="1"/>
    <col min="13577" max="13577" width="16.8571428571429" style="121" customWidth="1"/>
    <col min="13578" max="13579" width="13.5714285714286" style="121" customWidth="1"/>
    <col min="13580" max="13824" width="12.5714285714286" style="121"/>
    <col min="13825" max="13825" width="11.2857142857143" style="121" customWidth="1"/>
    <col min="13826" max="13826" width="29.1428571428571" style="121" customWidth="1"/>
    <col min="13827" max="13827" width="15" style="121" customWidth="1"/>
    <col min="13828" max="13828" width="16.2857142857143" style="121" customWidth="1"/>
    <col min="13829" max="13830" width="17" style="121" customWidth="1"/>
    <col min="13831" max="13831" width="88.1428571428571" style="121" customWidth="1"/>
    <col min="13832" max="13832" width="15.8571428571429" style="121" customWidth="1"/>
    <col min="13833" max="13833" width="16.8571428571429" style="121" customWidth="1"/>
    <col min="13834" max="13835" width="13.5714285714286" style="121" customWidth="1"/>
    <col min="13836" max="14080" width="12.5714285714286" style="121"/>
    <col min="14081" max="14081" width="11.2857142857143" style="121" customWidth="1"/>
    <col min="14082" max="14082" width="29.1428571428571" style="121" customWidth="1"/>
    <col min="14083" max="14083" width="15" style="121" customWidth="1"/>
    <col min="14084" max="14084" width="16.2857142857143" style="121" customWidth="1"/>
    <col min="14085" max="14086" width="17" style="121" customWidth="1"/>
    <col min="14087" max="14087" width="88.1428571428571" style="121" customWidth="1"/>
    <col min="14088" max="14088" width="15.8571428571429" style="121" customWidth="1"/>
    <col min="14089" max="14089" width="16.8571428571429" style="121" customWidth="1"/>
    <col min="14090" max="14091" width="13.5714285714286" style="121" customWidth="1"/>
    <col min="14092" max="14336" width="12.5714285714286" style="121"/>
    <col min="14337" max="14337" width="11.2857142857143" style="121" customWidth="1"/>
    <col min="14338" max="14338" width="29.1428571428571" style="121" customWidth="1"/>
    <col min="14339" max="14339" width="15" style="121" customWidth="1"/>
    <col min="14340" max="14340" width="16.2857142857143" style="121" customWidth="1"/>
    <col min="14341" max="14342" width="17" style="121" customWidth="1"/>
    <col min="14343" max="14343" width="88.1428571428571" style="121" customWidth="1"/>
    <col min="14344" max="14344" width="15.8571428571429" style="121" customWidth="1"/>
    <col min="14345" max="14345" width="16.8571428571429" style="121" customWidth="1"/>
    <col min="14346" max="14347" width="13.5714285714286" style="121" customWidth="1"/>
    <col min="14348" max="14592" width="12.5714285714286" style="121"/>
    <col min="14593" max="14593" width="11.2857142857143" style="121" customWidth="1"/>
    <col min="14594" max="14594" width="29.1428571428571" style="121" customWidth="1"/>
    <col min="14595" max="14595" width="15" style="121" customWidth="1"/>
    <col min="14596" max="14596" width="16.2857142857143" style="121" customWidth="1"/>
    <col min="14597" max="14598" width="17" style="121" customWidth="1"/>
    <col min="14599" max="14599" width="88.1428571428571" style="121" customWidth="1"/>
    <col min="14600" max="14600" width="15.8571428571429" style="121" customWidth="1"/>
    <col min="14601" max="14601" width="16.8571428571429" style="121" customWidth="1"/>
    <col min="14602" max="14603" width="13.5714285714286" style="121" customWidth="1"/>
    <col min="14604" max="14848" width="12.5714285714286" style="121"/>
    <col min="14849" max="14849" width="11.2857142857143" style="121" customWidth="1"/>
    <col min="14850" max="14850" width="29.1428571428571" style="121" customWidth="1"/>
    <col min="14851" max="14851" width="15" style="121" customWidth="1"/>
    <col min="14852" max="14852" width="16.2857142857143" style="121" customWidth="1"/>
    <col min="14853" max="14854" width="17" style="121" customWidth="1"/>
    <col min="14855" max="14855" width="88.1428571428571" style="121" customWidth="1"/>
    <col min="14856" max="14856" width="15.8571428571429" style="121" customWidth="1"/>
    <col min="14857" max="14857" width="16.8571428571429" style="121" customWidth="1"/>
    <col min="14858" max="14859" width="13.5714285714286" style="121" customWidth="1"/>
    <col min="14860" max="15104" width="12.5714285714286" style="121"/>
    <col min="15105" max="15105" width="11.2857142857143" style="121" customWidth="1"/>
    <col min="15106" max="15106" width="29.1428571428571" style="121" customWidth="1"/>
    <col min="15107" max="15107" width="15" style="121" customWidth="1"/>
    <col min="15108" max="15108" width="16.2857142857143" style="121" customWidth="1"/>
    <col min="15109" max="15110" width="17" style="121" customWidth="1"/>
    <col min="15111" max="15111" width="88.1428571428571" style="121" customWidth="1"/>
    <col min="15112" max="15112" width="15.8571428571429" style="121" customWidth="1"/>
    <col min="15113" max="15113" width="16.8571428571429" style="121" customWidth="1"/>
    <col min="15114" max="15115" width="13.5714285714286" style="121" customWidth="1"/>
    <col min="15116" max="15360" width="12.5714285714286" style="121"/>
    <col min="15361" max="15361" width="11.2857142857143" style="121" customWidth="1"/>
    <col min="15362" max="15362" width="29.1428571428571" style="121" customWidth="1"/>
    <col min="15363" max="15363" width="15" style="121" customWidth="1"/>
    <col min="15364" max="15364" width="16.2857142857143" style="121" customWidth="1"/>
    <col min="15365" max="15366" width="17" style="121" customWidth="1"/>
    <col min="15367" max="15367" width="88.1428571428571" style="121" customWidth="1"/>
    <col min="15368" max="15368" width="15.8571428571429" style="121" customWidth="1"/>
    <col min="15369" max="15369" width="16.8571428571429" style="121" customWidth="1"/>
    <col min="15370" max="15371" width="13.5714285714286" style="121" customWidth="1"/>
    <col min="15372" max="15616" width="12.5714285714286" style="121"/>
    <col min="15617" max="15617" width="11.2857142857143" style="121" customWidth="1"/>
    <col min="15618" max="15618" width="29.1428571428571" style="121" customWidth="1"/>
    <col min="15619" max="15619" width="15" style="121" customWidth="1"/>
    <col min="15620" max="15620" width="16.2857142857143" style="121" customWidth="1"/>
    <col min="15621" max="15622" width="17" style="121" customWidth="1"/>
    <col min="15623" max="15623" width="88.1428571428571" style="121" customWidth="1"/>
    <col min="15624" max="15624" width="15.8571428571429" style="121" customWidth="1"/>
    <col min="15625" max="15625" width="16.8571428571429" style="121" customWidth="1"/>
    <col min="15626" max="15627" width="13.5714285714286" style="121" customWidth="1"/>
    <col min="15628" max="15872" width="12.5714285714286" style="121"/>
    <col min="15873" max="15873" width="11.2857142857143" style="121" customWidth="1"/>
    <col min="15874" max="15874" width="29.1428571428571" style="121" customWidth="1"/>
    <col min="15875" max="15875" width="15" style="121" customWidth="1"/>
    <col min="15876" max="15876" width="16.2857142857143" style="121" customWidth="1"/>
    <col min="15877" max="15878" width="17" style="121" customWidth="1"/>
    <col min="15879" max="15879" width="88.1428571428571" style="121" customWidth="1"/>
    <col min="15880" max="15880" width="15.8571428571429" style="121" customWidth="1"/>
    <col min="15881" max="15881" width="16.8571428571429" style="121" customWidth="1"/>
    <col min="15882" max="15883" width="13.5714285714286" style="121" customWidth="1"/>
    <col min="15884" max="16128" width="12.5714285714286" style="121"/>
    <col min="16129" max="16129" width="11.2857142857143" style="121" customWidth="1"/>
    <col min="16130" max="16130" width="29.1428571428571" style="121" customWidth="1"/>
    <col min="16131" max="16131" width="15" style="121" customWidth="1"/>
    <col min="16132" max="16132" width="16.2857142857143" style="121" customWidth="1"/>
    <col min="16133" max="16134" width="17" style="121" customWidth="1"/>
    <col min="16135" max="16135" width="88.1428571428571" style="121" customWidth="1"/>
    <col min="16136" max="16136" width="15.8571428571429" style="121" customWidth="1"/>
    <col min="16137" max="16137" width="16.8571428571429" style="121" customWidth="1"/>
    <col min="16138" max="16139" width="13.5714285714286" style="121" customWidth="1"/>
    <col min="16140" max="16384" width="12.5714285714286" style="121"/>
  </cols>
  <sheetData>
    <row r="1" s="118" customFormat="1" ht="18.75" spans="1:9">
      <c r="A1" s="125" t="s">
        <v>121</v>
      </c>
      <c r="B1" s="125"/>
      <c r="C1" s="125"/>
      <c r="D1" s="125"/>
      <c r="E1" s="125"/>
      <c r="F1" s="125"/>
      <c r="G1" s="125"/>
    </row>
    <row r="2" spans="1:9">
      <c r="A2" s="126" t="s">
        <v>122</v>
      </c>
      <c r="B2" s="127"/>
      <c r="C2" s="127"/>
      <c r="D2" s="127"/>
      <c r="E2" s="128"/>
      <c r="F2" s="129"/>
      <c r="G2" s="127"/>
    </row>
    <row r="3" ht="28.5" spans="1:9">
      <c r="A3" s="130" t="s">
        <v>123</v>
      </c>
      <c r="B3" s="131" t="s">
        <v>124</v>
      </c>
      <c r="C3" s="132" t="s">
        <v>125</v>
      </c>
      <c r="D3" s="132" t="s">
        <v>126</v>
      </c>
      <c r="E3" s="131" t="s">
        <v>127</v>
      </c>
      <c r="F3" s="133" t="s">
        <v>128</v>
      </c>
      <c r="G3" s="134" t="s">
        <v>129</v>
      </c>
    </row>
    <row r="4" ht="20.1" customHeight="1" spans="1:9">
      <c r="A4" s="135" t="s">
        <v>14</v>
      </c>
      <c r="B4" s="136" t="s">
        <v>15</v>
      </c>
      <c r="C4" s="137">
        <f>SUM(C5:C5)</f>
        <v>4951.95</v>
      </c>
      <c r="D4" s="137">
        <f>SUM(D5:D6)</f>
        <v>4950.98</v>
      </c>
      <c r="E4" s="137">
        <f>D4-C4</f>
        <v>-0.97</v>
      </c>
      <c r="F4" s="138">
        <f>E4/C4</f>
        <v>-0.0002</v>
      </c>
      <c r="G4" s="139"/>
    </row>
    <row r="5" s="119" customFormat="1" ht="82" customHeight="1" spans="1:9">
      <c r="A5" s="140">
        <v>1</v>
      </c>
      <c r="B5" s="141" t="s">
        <v>17</v>
      </c>
      <c r="C5" s="142">
        <f>1296.5+666.3+2989.15</f>
        <v>4951.95</v>
      </c>
      <c r="D5" s="143">
        <f>概算表!F7</f>
        <v>4501.58</v>
      </c>
      <c r="E5" s="137">
        <f>D5-C5</f>
        <v>-450.37</v>
      </c>
      <c r="F5" s="144">
        <f>E5/C5</f>
        <v>-0.0909</v>
      </c>
      <c r="G5" s="145" t="s">
        <v>130</v>
      </c>
      <c r="H5" s="119" t="s">
        <v>131</v>
      </c>
      <c r="I5" s="146"/>
    </row>
    <row r="6" s="119" customFormat="1" ht="30" customHeight="1" spans="1:9">
      <c r="A6" s="140">
        <v>2</v>
      </c>
      <c r="B6" s="141" t="s">
        <v>81</v>
      </c>
      <c r="C6" s="142"/>
      <c r="D6" s="143">
        <f>+概算表!F53</f>
        <v>449.4</v>
      </c>
      <c r="E6" s="137">
        <f>D6-C6</f>
        <v>449.4</v>
      </c>
      <c r="F6" s="144"/>
      <c r="G6" s="145" t="s">
        <v>132</v>
      </c>
      <c r="I6" s="146"/>
    </row>
    <row r="7" s="119" customFormat="1" ht="20.1" customHeight="1" spans="1:9">
      <c r="A7" s="147" t="s">
        <v>82</v>
      </c>
      <c r="B7" s="136" t="s">
        <v>83</v>
      </c>
      <c r="C7" s="142">
        <f>SUM(C8:C22)</f>
        <v>309.19</v>
      </c>
      <c r="D7" s="142">
        <f ca="1">SUM(D8:D23)</f>
        <v>399.17</v>
      </c>
      <c r="E7" s="148">
        <f ca="1" t="shared" ref="E7:E25" si="0">D7-C7</f>
        <v>89.98</v>
      </c>
      <c r="F7" s="149">
        <f ca="1">E7/C7</f>
        <v>0.291</v>
      </c>
      <c r="G7" s="145"/>
      <c r="I7" s="146"/>
    </row>
    <row r="8" s="119" customFormat="1" ht="20.1" customHeight="1" spans="1:9">
      <c r="A8" s="140" t="s">
        <v>16</v>
      </c>
      <c r="B8" s="106" t="s">
        <v>85</v>
      </c>
      <c r="C8" s="143">
        <v>79.28</v>
      </c>
      <c r="D8" s="143">
        <f ca="1">概算表!F55</f>
        <v>86.13</v>
      </c>
      <c r="E8" s="142">
        <f ca="1" t="shared" si="0"/>
        <v>6.85</v>
      </c>
      <c r="F8" s="144"/>
      <c r="G8" s="145" t="s">
        <v>133</v>
      </c>
      <c r="I8" s="146"/>
    </row>
    <row r="9" s="119" customFormat="1" ht="20.1" customHeight="1" spans="1:9">
      <c r="A9" s="140">
        <v>2</v>
      </c>
      <c r="B9" s="106" t="s">
        <v>87</v>
      </c>
      <c r="C9" s="143">
        <v>11.97</v>
      </c>
      <c r="D9" s="143">
        <f>概算表!F56</f>
        <v>4.97</v>
      </c>
      <c r="E9" s="142">
        <f t="shared" si="0"/>
        <v>-7</v>
      </c>
      <c r="F9" s="144"/>
      <c r="G9" s="145" t="s">
        <v>134</v>
      </c>
      <c r="I9" s="146"/>
    </row>
    <row r="10" s="119" customFormat="1" ht="20.1" customHeight="1" spans="1:9">
      <c r="A10" s="140">
        <v>3</v>
      </c>
      <c r="B10" s="110" t="s">
        <v>90</v>
      </c>
      <c r="C10" s="143">
        <v>3.9</v>
      </c>
      <c r="D10" s="143">
        <f>概算表!F57</f>
        <v>1.75</v>
      </c>
      <c r="E10" s="142">
        <f t="shared" si="0"/>
        <v>-2.15</v>
      </c>
      <c r="F10" s="144"/>
      <c r="G10" s="145" t="s">
        <v>134</v>
      </c>
      <c r="I10" s="146"/>
    </row>
    <row r="11" s="119" customFormat="1" ht="20.1" customHeight="1" spans="1:9">
      <c r="A11" s="140">
        <v>4</v>
      </c>
      <c r="B11" s="110" t="s">
        <v>91</v>
      </c>
      <c r="C11" s="143"/>
      <c r="D11" s="143">
        <f>概算表!F58</f>
        <v>3.74</v>
      </c>
      <c r="E11" s="142">
        <f t="shared" si="0"/>
        <v>3.74</v>
      </c>
      <c r="F11" s="144"/>
      <c r="G11" s="145" t="s">
        <v>134</v>
      </c>
      <c r="I11" s="146"/>
    </row>
    <row r="12" s="119" customFormat="1" ht="20.1" customHeight="1" spans="1:9">
      <c r="A12" s="140">
        <v>5</v>
      </c>
      <c r="B12" s="106" t="s">
        <v>92</v>
      </c>
      <c r="C12" s="143">
        <v>93.57</v>
      </c>
      <c r="D12" s="143">
        <f>概算表!F59</f>
        <v>86.09</v>
      </c>
      <c r="E12" s="142">
        <f t="shared" si="0"/>
        <v>-7.48</v>
      </c>
      <c r="F12" s="144"/>
      <c r="G12" s="145" t="s">
        <v>134</v>
      </c>
      <c r="I12" s="146"/>
    </row>
    <row r="13" s="119" customFormat="1" ht="20.1" customHeight="1" spans="1:9">
      <c r="A13" s="140">
        <v>6</v>
      </c>
      <c r="B13" s="106" t="s">
        <v>93</v>
      </c>
      <c r="C13" s="143">
        <v>64.68</v>
      </c>
      <c r="D13" s="143">
        <f>概算表!F60</f>
        <v>62.09</v>
      </c>
      <c r="E13" s="142">
        <f t="shared" si="0"/>
        <v>-2.59</v>
      </c>
      <c r="F13" s="144"/>
      <c r="G13" s="145" t="s">
        <v>134</v>
      </c>
      <c r="I13" s="146"/>
    </row>
    <row r="14" s="119" customFormat="1" ht="20.1" customHeight="1" spans="1:9">
      <c r="A14" s="140">
        <v>7</v>
      </c>
      <c r="B14" s="106" t="s">
        <v>94</v>
      </c>
      <c r="C14" s="143"/>
      <c r="D14" s="143">
        <f>概算表!F61</f>
        <v>4.57</v>
      </c>
      <c r="E14" s="142">
        <f t="shared" si="0"/>
        <v>4.57</v>
      </c>
      <c r="F14" s="144"/>
      <c r="G14" s="145" t="s">
        <v>135</v>
      </c>
      <c r="I14" s="146"/>
    </row>
    <row r="15" s="119" customFormat="1" ht="20.1" customHeight="1" spans="1:9">
      <c r="A15" s="140">
        <v>8</v>
      </c>
      <c r="B15" s="106" t="s">
        <v>97</v>
      </c>
      <c r="C15" s="143">
        <v>20.38</v>
      </c>
      <c r="D15" s="143">
        <f>概算表!F62</f>
        <v>20.38</v>
      </c>
      <c r="E15" s="142">
        <f t="shared" si="0"/>
        <v>0</v>
      </c>
      <c r="F15" s="144"/>
      <c r="G15" s="145" t="s">
        <v>133</v>
      </c>
      <c r="I15" s="146"/>
    </row>
    <row r="16" s="119" customFormat="1" ht="20.1" customHeight="1" spans="1:9">
      <c r="A16" s="140">
        <v>9</v>
      </c>
      <c r="B16" s="111" t="s">
        <v>99</v>
      </c>
      <c r="C16" s="143">
        <v>29.71</v>
      </c>
      <c r="D16" s="143">
        <f>概算表!F63</f>
        <v>28.52</v>
      </c>
      <c r="E16" s="142">
        <f t="shared" si="0"/>
        <v>-1.19</v>
      </c>
      <c r="F16" s="144"/>
      <c r="G16" s="145"/>
      <c r="I16" s="146"/>
    </row>
    <row r="17" s="119" customFormat="1" ht="20.1" customHeight="1" spans="1:9">
      <c r="A17" s="140">
        <v>10</v>
      </c>
      <c r="B17" s="106" t="s">
        <v>100</v>
      </c>
      <c r="C17" s="143">
        <v>4.2</v>
      </c>
      <c r="D17" s="143">
        <f>概算表!F64</f>
        <v>4.2</v>
      </c>
      <c r="E17" s="142">
        <f t="shared" si="0"/>
        <v>0</v>
      </c>
      <c r="F17" s="144"/>
      <c r="G17" s="145"/>
      <c r="I17" s="146"/>
    </row>
    <row r="18" s="119" customFormat="1" ht="20.1" customHeight="1" spans="1:9">
      <c r="A18" s="150" t="s">
        <v>136</v>
      </c>
      <c r="B18" s="106" t="s">
        <v>102</v>
      </c>
      <c r="C18" s="143">
        <v>1.5</v>
      </c>
      <c r="D18" s="143">
        <f>概算表!F65</f>
        <v>1.44</v>
      </c>
      <c r="E18" s="142">
        <f t="shared" si="0"/>
        <v>-0.06</v>
      </c>
      <c r="F18" s="144"/>
      <c r="G18" s="145"/>
      <c r="I18" s="146"/>
    </row>
    <row r="19" s="119" customFormat="1" ht="20.1" customHeight="1" spans="1:9">
      <c r="A19" s="150" t="s">
        <v>137</v>
      </c>
      <c r="B19" s="78" t="s">
        <v>103</v>
      </c>
      <c r="C19" s="143"/>
      <c r="D19" s="143">
        <f>概算表!F66</f>
        <v>24.75</v>
      </c>
      <c r="E19" s="142">
        <f t="shared" si="0"/>
        <v>24.75</v>
      </c>
      <c r="F19" s="144"/>
      <c r="G19" s="145" t="s">
        <v>138</v>
      </c>
      <c r="I19" s="146"/>
    </row>
    <row r="20" s="119" customFormat="1" ht="20.1" customHeight="1" spans="1:9">
      <c r="A20" s="150" t="s">
        <v>139</v>
      </c>
      <c r="B20" s="106" t="s">
        <v>105</v>
      </c>
      <c r="C20" s="143"/>
      <c r="D20" s="143">
        <f>概算表!F67</f>
        <v>19.8</v>
      </c>
      <c r="E20" s="142">
        <f t="shared" si="0"/>
        <v>19.8</v>
      </c>
      <c r="F20" s="144"/>
      <c r="G20" s="145" t="s">
        <v>138</v>
      </c>
      <c r="I20" s="146"/>
    </row>
    <row r="21" s="119" customFormat="1" ht="20.1" customHeight="1" spans="1:9">
      <c r="A21" s="140">
        <v>14</v>
      </c>
      <c r="B21" s="106" t="s">
        <v>108</v>
      </c>
      <c r="C21" s="143"/>
      <c r="D21" s="143">
        <f>概算表!F68</f>
        <v>9.9</v>
      </c>
      <c r="E21" s="142">
        <f t="shared" si="0"/>
        <v>9.9</v>
      </c>
      <c r="F21" s="144"/>
      <c r="G21" s="145" t="s">
        <v>138</v>
      </c>
      <c r="I21" s="146"/>
    </row>
    <row r="22" s="119" customFormat="1" ht="20.1" customHeight="1" spans="1:9">
      <c r="A22" s="140">
        <v>15</v>
      </c>
      <c r="B22" s="106" t="s">
        <v>111</v>
      </c>
      <c r="C22" s="143"/>
      <c r="D22" s="143">
        <f>概算表!F69</f>
        <v>3.96</v>
      </c>
      <c r="E22" s="142">
        <f t="shared" si="0"/>
        <v>3.96</v>
      </c>
      <c r="F22" s="144"/>
      <c r="G22" s="145" t="s">
        <v>135</v>
      </c>
      <c r="I22" s="146"/>
    </row>
    <row r="23" s="119" customFormat="1" ht="20.1" customHeight="1" spans="1:9">
      <c r="A23" s="140">
        <v>16</v>
      </c>
      <c r="B23" s="106" t="str">
        <f>+概算表!B70</f>
        <v>系统测试与安全测评</v>
      </c>
      <c r="C23" s="143"/>
      <c r="D23" s="143">
        <f>+概算表!F70</f>
        <v>35.73</v>
      </c>
      <c r="E23" s="142">
        <f t="shared" si="0"/>
        <v>35.73</v>
      </c>
      <c r="F23" s="144"/>
      <c r="G23" s="145" t="s">
        <v>135</v>
      </c>
      <c r="I23" s="146"/>
    </row>
    <row r="24" s="119" customFormat="1" ht="25" customHeight="1" spans="1:9">
      <c r="A24" s="147" t="s">
        <v>116</v>
      </c>
      <c r="B24" s="136" t="s">
        <v>140</v>
      </c>
      <c r="C24" s="142">
        <v>263.06</v>
      </c>
      <c r="D24" s="143">
        <f ca="1">概算表!F71</f>
        <v>160.5</v>
      </c>
      <c r="E24" s="148">
        <f ca="1" t="shared" si="0"/>
        <v>-102.56</v>
      </c>
      <c r="F24" s="149">
        <f ca="1">E24/C24</f>
        <v>-0.3899</v>
      </c>
      <c r="G24" s="145" t="s">
        <v>141</v>
      </c>
      <c r="I24" s="146"/>
    </row>
    <row r="25" s="119" customFormat="1" ht="20.1" customHeight="1" spans="1:9">
      <c r="A25" s="151" t="s">
        <v>119</v>
      </c>
      <c r="B25" s="136" t="s">
        <v>142</v>
      </c>
      <c r="C25" s="143">
        <v>5524.2</v>
      </c>
      <c r="D25" s="143">
        <f ca="1">概算表!F72</f>
        <v>5510.65</v>
      </c>
      <c r="E25" s="148">
        <f ca="1" t="shared" si="0"/>
        <v>-13.55</v>
      </c>
      <c r="F25" s="149">
        <f ca="1">E25/C25</f>
        <v>-0.0025</v>
      </c>
      <c r="G25" s="145"/>
      <c r="I25" s="146"/>
    </row>
    <row r="26" ht="14.25" spans="1:9">
      <c r="A26" s="152"/>
      <c r="B26" s="119"/>
      <c r="C26" s="119"/>
      <c r="D26" s="153"/>
      <c r="E26" s="154"/>
      <c r="F26" s="155"/>
      <c r="G26" s="119"/>
    </row>
  </sheetData>
  <mergeCells count="1">
    <mergeCell ref="A1:G1"/>
  </mergeCells>
  <printOptions horizontalCentered="1"/>
  <pageMargins left="0.708661417322835" right="0.708661417322835" top="0.748031496062992" bottom="0.748031496062992" header="0.31496062992126" footer="0.31496062992126"/>
  <pageSetup paperSize="9" scale="8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4"/>
  <sheetViews>
    <sheetView view="pageBreakPreview" zoomScaleNormal="115" workbookViewId="0">
      <selection activeCell="G17" sqref="G17"/>
    </sheetView>
  </sheetViews>
  <sheetFormatPr defaultColWidth="12.5714285714286" defaultRowHeight="21" customHeight="1"/>
  <cols>
    <col min="1" max="1" width="6.42857142857143" style="55" customWidth="1"/>
    <col min="2" max="2" width="49" style="56" customWidth="1"/>
    <col min="3" max="4" width="12.2857142857143" style="56" customWidth="1"/>
    <col min="5" max="5" width="10.5714285714286" style="56" customWidth="1"/>
    <col min="6" max="6" width="12.2857142857143" style="56" hidden="1" customWidth="1"/>
    <col min="7" max="7" width="20.4285714285714" style="56" customWidth="1"/>
    <col min="8" max="8" width="12.2857142857143" style="56" customWidth="1"/>
    <col min="9" max="9" width="12.2857142857143" style="57" customWidth="1"/>
    <col min="10" max="10" width="12.2857142857143" style="58" customWidth="1"/>
    <col min="11" max="11" width="12.2857142857143" style="56" customWidth="1"/>
    <col min="12" max="16384" width="12.5714285714286" style="56"/>
  </cols>
  <sheetData>
    <row r="1" s="53" customFormat="1" ht="28.15" customHeight="1" spans="1:14">
      <c r="A1" s="59" t="s">
        <v>143</v>
      </c>
      <c r="B1" s="59"/>
      <c r="C1" s="59"/>
      <c r="D1" s="59"/>
      <c r="E1" s="59"/>
      <c r="F1" s="59"/>
      <c r="G1" s="59"/>
      <c r="H1" s="59"/>
      <c r="I1" s="59"/>
      <c r="J1" s="59"/>
      <c r="K1" s="59"/>
    </row>
    <row r="2" ht="28.15" customHeight="1" spans="1:14">
      <c r="A2" s="60" t="s">
        <v>1</v>
      </c>
      <c r="B2" s="60"/>
      <c r="C2" s="60"/>
      <c r="D2" s="60"/>
      <c r="E2" s="60"/>
      <c r="F2" s="60"/>
      <c r="G2" s="60"/>
      <c r="H2" s="60"/>
      <c r="J2" s="61"/>
      <c r="K2" s="62" t="s">
        <v>144</v>
      </c>
    </row>
    <row r="3" ht="28.15" customHeight="1" spans="1:14">
      <c r="A3" s="63" t="s">
        <v>2</v>
      </c>
      <c r="B3" s="64" t="s">
        <v>124</v>
      </c>
      <c r="C3" s="64" t="s">
        <v>145</v>
      </c>
      <c r="D3" s="64"/>
      <c r="E3" s="64"/>
      <c r="F3" s="64"/>
      <c r="G3" s="64"/>
      <c r="H3" s="64" t="s">
        <v>146</v>
      </c>
      <c r="I3" s="64"/>
      <c r="J3" s="64"/>
      <c r="K3" s="64" t="s">
        <v>6</v>
      </c>
    </row>
    <row r="4" ht="28.15" customHeight="1" spans="1:14">
      <c r="A4" s="63"/>
      <c r="B4" s="65"/>
      <c r="C4" s="64" t="s">
        <v>147</v>
      </c>
      <c r="D4" s="64" t="s">
        <v>148</v>
      </c>
      <c r="E4" s="64" t="s">
        <v>149</v>
      </c>
      <c r="F4" s="64" t="s">
        <v>150</v>
      </c>
      <c r="G4" s="64" t="s">
        <v>10</v>
      </c>
      <c r="H4" s="64" t="s">
        <v>11</v>
      </c>
      <c r="I4" s="66" t="s">
        <v>151</v>
      </c>
      <c r="J4" s="67" t="s">
        <v>152</v>
      </c>
      <c r="K4" s="64"/>
    </row>
    <row r="5" ht="28.15" customHeight="1" spans="1:14">
      <c r="A5" s="63"/>
      <c r="B5" s="65"/>
      <c r="C5" s="64" t="s">
        <v>153</v>
      </c>
      <c r="D5" s="64" t="s">
        <v>153</v>
      </c>
      <c r="E5" s="64" t="s">
        <v>154</v>
      </c>
      <c r="F5" s="64" t="s">
        <v>155</v>
      </c>
      <c r="G5" s="64"/>
      <c r="H5" s="64"/>
      <c r="I5" s="66"/>
      <c r="J5" s="67" t="s">
        <v>156</v>
      </c>
      <c r="K5" s="64"/>
    </row>
    <row r="6" ht="28.15" customHeight="1" spans="1:14">
      <c r="A6" s="68" t="s">
        <v>14</v>
      </c>
      <c r="B6" s="69" t="s">
        <v>15</v>
      </c>
      <c r="C6" s="70">
        <f>+C7++C53</f>
        <v>1605.83</v>
      </c>
      <c r="D6" s="70">
        <f>+D8</f>
        <v>293.52</v>
      </c>
      <c r="E6" s="70">
        <f>+E7+E53</f>
        <v>4984.03</v>
      </c>
      <c r="F6" s="70">
        <f>SUM(F9:F52)</f>
        <v>0</v>
      </c>
      <c r="G6" s="71">
        <f>G7+G53</f>
        <v>4950.98</v>
      </c>
      <c r="H6" s="64"/>
      <c r="I6" s="72"/>
      <c r="J6" s="67"/>
      <c r="K6" s="65"/>
      <c r="L6" s="56">
        <f>4951.95*1.1</f>
        <v>5447.15</v>
      </c>
      <c r="M6" s="56">
        <f>G6-L6</f>
        <v>-496.17</v>
      </c>
    </row>
    <row r="7" ht="28.15" customHeight="1" spans="1:14">
      <c r="A7" s="73" t="s">
        <v>16</v>
      </c>
      <c r="B7" s="69" t="s">
        <v>17</v>
      </c>
      <c r="C7" s="74">
        <f>+C8+C50+C31</f>
        <v>1605.83</v>
      </c>
      <c r="D7" s="74">
        <f>+D8+D50+D31</f>
        <v>293.52</v>
      </c>
      <c r="E7" s="74">
        <f>+E8+E50+E31</f>
        <v>4534.63</v>
      </c>
      <c r="F7" s="75"/>
      <c r="G7" s="71">
        <f>G8+G50</f>
        <v>4501.58</v>
      </c>
      <c r="H7" s="70"/>
      <c r="I7" s="76"/>
      <c r="J7" s="77"/>
      <c r="K7" s="75"/>
      <c r="L7" s="56" t="e">
        <f>G10+#REF!+G11+G15+G16+G18+G19+G20+#REF!+G52+G23+C28</f>
        <v>#REF!</v>
      </c>
    </row>
    <row r="8" ht="28.15" customHeight="1" spans="1:14">
      <c r="A8" s="73" t="s">
        <v>18</v>
      </c>
      <c r="B8" s="78" t="s">
        <v>19</v>
      </c>
      <c r="C8" s="64">
        <f>+C10+C12+C18+C19+C20+C23+C28</f>
        <v>1290.86</v>
      </c>
      <c r="D8" s="64">
        <f>+D13+D15+D16</f>
        <v>293.52</v>
      </c>
      <c r="E8" s="79">
        <f>+E25+E26+E29+E30+E31</f>
        <v>2602.23</v>
      </c>
      <c r="F8" s="65"/>
      <c r="G8" s="80">
        <f>+C8+D8+E8</f>
        <v>4186.61</v>
      </c>
      <c r="H8" s="64" t="s">
        <v>20</v>
      </c>
      <c r="I8" s="81">
        <v>1</v>
      </c>
      <c r="J8" s="67">
        <f>+G8/I8</f>
        <v>4186.61</v>
      </c>
      <c r="K8" s="65"/>
      <c r="L8" s="56">
        <f>+C6+D6+E6</f>
        <v>6883.38</v>
      </c>
    </row>
    <row r="9" ht="28.15" customHeight="1" spans="1:14">
      <c r="A9" s="73"/>
      <c r="B9" s="78" t="s">
        <v>21</v>
      </c>
      <c r="C9" s="82">
        <f>+C10+C12</f>
        <v>516.41</v>
      </c>
      <c r="D9" s="82">
        <f>+D13</f>
        <v>80.99</v>
      </c>
      <c r="E9" s="82">
        <f>+E10+E12</f>
        <v>0</v>
      </c>
      <c r="F9" s="65"/>
      <c r="G9" s="80">
        <f>SUM(G10:G11)</f>
        <v>597.4</v>
      </c>
      <c r="H9" s="64" t="s">
        <v>22</v>
      </c>
      <c r="I9" s="81">
        <v>2</v>
      </c>
      <c r="J9" s="67">
        <f>+G9/I9</f>
        <v>298.7</v>
      </c>
      <c r="K9" s="65"/>
      <c r="M9" s="56" t="e">
        <f>G10+G18+G20+#REF!+#REF!++G52+#REF!+#REF!+G23+G28</f>
        <v>#REF!</v>
      </c>
    </row>
    <row r="10" ht="28.15" hidden="1" customHeight="1" spans="1:14">
      <c r="A10" s="73"/>
      <c r="B10" s="78" t="s">
        <v>23</v>
      </c>
      <c r="C10" s="82">
        <f>G10</f>
        <v>201.21</v>
      </c>
      <c r="D10" s="64"/>
      <c r="E10" s="79"/>
      <c r="F10" s="65"/>
      <c r="G10" s="80">
        <f>2012101/10000</f>
        <v>201.21</v>
      </c>
      <c r="H10" s="64"/>
      <c r="I10" s="81"/>
      <c r="J10" s="67"/>
      <c r="K10" s="65"/>
      <c r="L10" s="56">
        <f>+C9+C14+C17+C21+C27</f>
        <v>1290.86</v>
      </c>
      <c r="M10" s="56">
        <f>+D9+D14+D17+D21+D27</f>
        <v>293.52</v>
      </c>
      <c r="N10" s="56">
        <f>+E9+E14+E17+E21+E27</f>
        <v>669.83</v>
      </c>
    </row>
    <row r="11" ht="28.15" hidden="1" customHeight="1" spans="1:14">
      <c r="A11" s="73"/>
      <c r="B11" s="78" t="s">
        <v>25</v>
      </c>
      <c r="C11" s="82"/>
      <c r="D11" s="64"/>
      <c r="E11" s="79"/>
      <c r="F11" s="65"/>
      <c r="G11" s="80">
        <f>+G12+G13</f>
        <v>396.19</v>
      </c>
      <c r="H11" s="64"/>
      <c r="I11" s="81"/>
      <c r="J11" s="67"/>
      <c r="K11" s="65"/>
    </row>
    <row r="12" ht="28.15" hidden="1" customHeight="1" spans="1:14">
      <c r="A12" s="73"/>
      <c r="B12" s="78" t="s">
        <v>26</v>
      </c>
      <c r="C12" s="82">
        <f>+G12</f>
        <v>315.2</v>
      </c>
      <c r="D12" s="64"/>
      <c r="E12" s="79"/>
      <c r="F12" s="65"/>
      <c r="G12" s="83">
        <f>3151952/10000</f>
        <v>315.2</v>
      </c>
      <c r="H12" s="64"/>
      <c r="I12" s="81"/>
      <c r="J12" s="67"/>
      <c r="K12" s="65"/>
    </row>
    <row r="13" ht="28.15" hidden="1" customHeight="1" spans="1:14">
      <c r="A13" s="73"/>
      <c r="B13" s="78" t="s">
        <v>27</v>
      </c>
      <c r="C13" s="82"/>
      <c r="D13" s="64">
        <f>+G13</f>
        <v>80.99</v>
      </c>
      <c r="E13" s="79"/>
      <c r="F13" s="65"/>
      <c r="G13" s="83">
        <f>809906.8/10000</f>
        <v>80.99</v>
      </c>
      <c r="H13" s="64"/>
      <c r="I13" s="81"/>
      <c r="J13" s="67"/>
      <c r="K13" s="65"/>
    </row>
    <row r="14" ht="28.15" customHeight="1" spans="1:14">
      <c r="A14" s="73"/>
      <c r="B14" s="78" t="s">
        <v>29</v>
      </c>
      <c r="C14" s="82">
        <f>+C15+C16</f>
        <v>0</v>
      </c>
      <c r="D14" s="82">
        <f>+D15+D16</f>
        <v>212.53</v>
      </c>
      <c r="E14" s="82">
        <f>+E15+E16</f>
        <v>0</v>
      </c>
      <c r="F14" s="65"/>
      <c r="G14" s="80">
        <f>SUM(G15:G16)</f>
        <v>212.53</v>
      </c>
      <c r="H14" s="64" t="s">
        <v>30</v>
      </c>
      <c r="I14" s="81">
        <v>1</v>
      </c>
      <c r="J14" s="67">
        <f>+G14/I14</f>
        <v>212.53</v>
      </c>
      <c r="K14" s="65"/>
      <c r="L14" s="56">
        <f>+C6+D6+E6</f>
        <v>6883.38</v>
      </c>
    </row>
    <row r="15" ht="28.15" hidden="1" customHeight="1" spans="1:14">
      <c r="A15" s="73"/>
      <c r="B15" s="78" t="s">
        <v>31</v>
      </c>
      <c r="C15" s="82"/>
      <c r="D15" s="64">
        <f>1356472/10000</f>
        <v>135.65</v>
      </c>
      <c r="E15" s="79"/>
      <c r="F15" s="65"/>
      <c r="G15" s="80">
        <f>D15</f>
        <v>135.65</v>
      </c>
      <c r="H15" s="64"/>
      <c r="I15" s="81"/>
      <c r="J15" s="67"/>
      <c r="K15" s="65"/>
    </row>
    <row r="16" ht="28.15" hidden="1" customHeight="1" spans="1:14">
      <c r="A16" s="73"/>
      <c r="B16" s="78" t="s">
        <v>32</v>
      </c>
      <c r="C16" s="82"/>
      <c r="D16" s="64">
        <v>76.88</v>
      </c>
      <c r="E16" s="79"/>
      <c r="F16" s="65"/>
      <c r="G16" s="80">
        <f>D16</f>
        <v>76.88</v>
      </c>
      <c r="H16" s="64"/>
      <c r="I16" s="81"/>
      <c r="J16" s="67"/>
      <c r="K16" s="65"/>
    </row>
    <row r="17" ht="28.15" customHeight="1" spans="1:13">
      <c r="A17" s="73"/>
      <c r="B17" s="78" t="s">
        <v>34</v>
      </c>
      <c r="C17" s="64">
        <f>+C18+C19+C20</f>
        <v>434.78</v>
      </c>
      <c r="D17" s="64">
        <f>+D18+D19+D20</f>
        <v>0</v>
      </c>
      <c r="E17" s="64">
        <f>+E18+E19+E20</f>
        <v>0</v>
      </c>
      <c r="F17" s="65"/>
      <c r="G17" s="80">
        <f>SUM(G18:G20)</f>
        <v>434.78</v>
      </c>
      <c r="H17" s="64" t="s">
        <v>35</v>
      </c>
      <c r="I17" s="81">
        <v>14226</v>
      </c>
      <c r="J17" s="67">
        <f>+G17/I17</f>
        <v>0.03</v>
      </c>
      <c r="K17" s="65"/>
      <c r="M17" s="56">
        <f>+C6+D6+E6</f>
        <v>6883.38</v>
      </c>
    </row>
    <row r="18" ht="28.15" hidden="1" customHeight="1" spans="1:13">
      <c r="A18" s="84"/>
      <c r="B18" s="85" t="s">
        <v>36</v>
      </c>
      <c r="C18" s="86">
        <f>3569739/10000</f>
        <v>356.97</v>
      </c>
      <c r="D18" s="87"/>
      <c r="E18" s="87"/>
      <c r="F18" s="65"/>
      <c r="G18" s="64">
        <f t="shared" ref="G18:G20" si="0">SUM(C18:F18)</f>
        <v>356.97</v>
      </c>
      <c r="H18" s="64" t="s">
        <v>35</v>
      </c>
      <c r="I18" s="81">
        <f>4202.8+3753.5+5676.8+592.4</f>
        <v>14226</v>
      </c>
      <c r="J18" s="66">
        <f t="shared" ref="J18:J23" si="1">G18/I18*10000</f>
        <v>251</v>
      </c>
      <c r="K18" s="88"/>
      <c r="M18" s="56" t="e">
        <f>G10+G17+#REF!+G28+#REF!+G52+G23</f>
        <v>#REF!</v>
      </c>
    </row>
    <row r="19" ht="28.15" hidden="1" customHeight="1" spans="1:13">
      <c r="A19" s="84"/>
      <c r="B19" s="85" t="s">
        <v>37</v>
      </c>
      <c r="C19" s="86">
        <f>613958/10000</f>
        <v>61.4</v>
      </c>
      <c r="D19" s="87"/>
      <c r="E19" s="87"/>
      <c r="F19" s="65"/>
      <c r="G19" s="64">
        <f t="shared" si="0"/>
        <v>61.4</v>
      </c>
      <c r="H19" s="64" t="s">
        <v>20</v>
      </c>
      <c r="I19" s="81">
        <v>1</v>
      </c>
      <c r="J19" s="66">
        <v>613958</v>
      </c>
      <c r="K19" s="88"/>
    </row>
    <row r="20" ht="28.15" hidden="1" customHeight="1" spans="1:13">
      <c r="A20" s="84"/>
      <c r="B20" s="85" t="s">
        <v>38</v>
      </c>
      <c r="C20" s="86">
        <f>164117/10000</f>
        <v>16.41</v>
      </c>
      <c r="D20" s="65"/>
      <c r="E20" s="87"/>
      <c r="F20" s="65"/>
      <c r="G20" s="64">
        <f t="shared" si="0"/>
        <v>16.41</v>
      </c>
      <c r="H20" s="64" t="s">
        <v>39</v>
      </c>
      <c r="I20" s="81">
        <v>991</v>
      </c>
      <c r="J20" s="66">
        <f t="shared" si="1"/>
        <v>166</v>
      </c>
      <c r="K20" s="88"/>
    </row>
    <row r="21" ht="28.15" customHeight="1" spans="1:13">
      <c r="A21" s="73"/>
      <c r="B21" s="78" t="s">
        <v>41</v>
      </c>
      <c r="C21" s="64">
        <f>+C22+C23+C24+C25+C26</f>
        <v>338.89</v>
      </c>
      <c r="D21" s="64">
        <f>+D22+D23+D24+D25+D26</f>
        <v>0</v>
      </c>
      <c r="E21" s="64">
        <f>+E22+E23+E24+E25+E26</f>
        <v>499.83</v>
      </c>
      <c r="F21" s="65"/>
      <c r="G21" s="80">
        <f>G22+G24</f>
        <v>838.72</v>
      </c>
      <c r="H21" s="64" t="s">
        <v>35</v>
      </c>
      <c r="I21" s="81">
        <v>1700</v>
      </c>
      <c r="J21" s="67">
        <f>+G21/I21</f>
        <v>0.49</v>
      </c>
      <c r="K21" s="65"/>
    </row>
    <row r="22" ht="28.15" hidden="1" customHeight="1" spans="1:13">
      <c r="A22" s="73"/>
      <c r="B22" s="78" t="s">
        <v>43</v>
      </c>
      <c r="C22" s="64"/>
      <c r="D22" s="64"/>
      <c r="E22" s="79"/>
      <c r="F22" s="65"/>
      <c r="G22" s="80">
        <f>G23</f>
        <v>338.89</v>
      </c>
      <c r="H22" s="64"/>
      <c r="I22" s="81"/>
      <c r="J22" s="67"/>
      <c r="K22" s="65"/>
    </row>
    <row r="23" s="54" customFormat="1" ht="28.15" hidden="1" customHeight="1" spans="1:13">
      <c r="A23" s="84"/>
      <c r="B23" s="85" t="s">
        <v>44</v>
      </c>
      <c r="C23" s="86">
        <f>3388851/10000</f>
        <v>338.89</v>
      </c>
      <c r="D23" s="65"/>
      <c r="E23" s="87"/>
      <c r="F23" s="65"/>
      <c r="G23" s="64">
        <f>SUM(C23:F23)</f>
        <v>338.89</v>
      </c>
      <c r="H23" s="64" t="s">
        <v>35</v>
      </c>
      <c r="I23" s="81">
        <v>1700</v>
      </c>
      <c r="J23" s="66">
        <f t="shared" si="1"/>
        <v>1993</v>
      </c>
      <c r="K23" s="88"/>
    </row>
    <row r="24" s="54" customFormat="1" ht="28.15" hidden="1" customHeight="1" spans="1:13">
      <c r="A24" s="73"/>
      <c r="B24" s="78" t="s">
        <v>46</v>
      </c>
      <c r="C24" s="64"/>
      <c r="D24" s="64"/>
      <c r="E24" s="79"/>
      <c r="F24" s="65"/>
      <c r="G24" s="80">
        <f>SUM(G25:G26)</f>
        <v>499.83</v>
      </c>
      <c r="H24" s="64"/>
      <c r="I24" s="81"/>
      <c r="J24" s="67"/>
      <c r="K24" s="65"/>
    </row>
    <row r="25" ht="28.15" hidden="1" customHeight="1" spans="1:13">
      <c r="A25" s="84"/>
      <c r="B25" s="85" t="s">
        <v>47</v>
      </c>
      <c r="C25" s="86"/>
      <c r="D25" s="65"/>
      <c r="E25" s="65">
        <v>197.2</v>
      </c>
      <c r="G25" s="64">
        <v>197.2</v>
      </c>
      <c r="H25" s="64" t="s">
        <v>20</v>
      </c>
      <c r="I25" s="81">
        <v>1</v>
      </c>
      <c r="J25" s="66">
        <v>1972000</v>
      </c>
      <c r="K25" s="88" t="s">
        <v>48</v>
      </c>
    </row>
    <row r="26" s="54" customFormat="1" ht="28.15" hidden="1" customHeight="1" spans="1:13">
      <c r="A26" s="84"/>
      <c r="B26" s="85" t="s">
        <v>49</v>
      </c>
      <c r="C26" s="86"/>
      <c r="D26" s="65"/>
      <c r="E26" s="65">
        <v>302.63</v>
      </c>
      <c r="G26" s="64">
        <v>302.63</v>
      </c>
      <c r="H26" s="64" t="s">
        <v>20</v>
      </c>
      <c r="I26" s="81">
        <v>1</v>
      </c>
      <c r="J26" s="66">
        <v>3026300</v>
      </c>
      <c r="K26" s="88" t="s">
        <v>48</v>
      </c>
    </row>
    <row r="27" s="54" customFormat="1" ht="28.15" customHeight="1" spans="1:13">
      <c r="A27" s="73"/>
      <c r="B27" s="78" t="s">
        <v>51</v>
      </c>
      <c r="C27" s="64">
        <f>+C28+C29+C30</f>
        <v>0.78</v>
      </c>
      <c r="D27" s="64">
        <f>+D28+D29+D30</f>
        <v>0</v>
      </c>
      <c r="E27" s="64">
        <f>+E28+E29+E30</f>
        <v>170</v>
      </c>
      <c r="F27" s="65"/>
      <c r="G27" s="80">
        <f>SUM(G28:G30)</f>
        <v>170.78</v>
      </c>
      <c r="H27" s="64" t="s">
        <v>30</v>
      </c>
      <c r="I27" s="81">
        <v>1</v>
      </c>
      <c r="J27" s="67">
        <f>+G27/I27</f>
        <v>170.78</v>
      </c>
      <c r="K27" s="65"/>
    </row>
    <row r="28" ht="28.15" customHeight="1" spans="1:13">
      <c r="A28" s="73"/>
      <c r="B28" s="78" t="s">
        <v>52</v>
      </c>
      <c r="C28" s="82">
        <f>7762/10000</f>
        <v>0.78</v>
      </c>
      <c r="D28" s="64"/>
      <c r="E28" s="79"/>
      <c r="F28" s="65"/>
      <c r="G28" s="64">
        <f>SUM(C28:F28)</f>
        <v>0.78</v>
      </c>
      <c r="H28" s="64" t="s">
        <v>35</v>
      </c>
      <c r="I28" s="81">
        <v>24</v>
      </c>
      <c r="J28" s="66">
        <f>G28/I28*10000</f>
        <v>325</v>
      </c>
      <c r="K28" s="65"/>
    </row>
    <row r="29" ht="28.15" customHeight="1" spans="1:13">
      <c r="A29" s="73"/>
      <c r="B29" s="78" t="s">
        <v>53</v>
      </c>
      <c r="C29" s="82"/>
      <c r="D29" s="64"/>
      <c r="E29" s="65">
        <v>10</v>
      </c>
      <c r="F29" s="65"/>
      <c r="G29" s="64">
        <v>10</v>
      </c>
      <c r="H29" s="64" t="s">
        <v>20</v>
      </c>
      <c r="I29" s="81">
        <v>1</v>
      </c>
      <c r="J29" s="66">
        <v>10000</v>
      </c>
      <c r="K29" s="65"/>
    </row>
    <row r="30" ht="28.15" customHeight="1" spans="1:13">
      <c r="A30" s="84"/>
      <c r="B30" s="85" t="s">
        <v>54</v>
      </c>
      <c r="C30" s="89"/>
      <c r="D30" s="65"/>
      <c r="E30" s="65">
        <v>160</v>
      </c>
      <c r="G30" s="64">
        <v>160</v>
      </c>
      <c r="H30" s="64" t="s">
        <v>20</v>
      </c>
      <c r="I30" s="81">
        <v>1</v>
      </c>
      <c r="J30" s="66">
        <v>1600000</v>
      </c>
      <c r="K30" s="88" t="s">
        <v>48</v>
      </c>
    </row>
    <row r="31" s="54" customFormat="1" ht="28.15" customHeight="1" spans="1:13">
      <c r="A31" s="73"/>
      <c r="B31" s="78" t="s">
        <v>157</v>
      </c>
      <c r="C31" s="90"/>
      <c r="D31" s="90"/>
      <c r="E31" s="91">
        <f>E32+E39+E41+E45</f>
        <v>1932.4</v>
      </c>
      <c r="F31" s="90"/>
      <c r="G31" s="92">
        <f>G32+G39+G42+G45</f>
        <v>1932.4</v>
      </c>
      <c r="H31" s="64" t="s">
        <v>20</v>
      </c>
      <c r="I31" s="81">
        <v>1</v>
      </c>
      <c r="J31" s="67">
        <f t="shared" ref="J31:J45" si="2">+G31/I31</f>
        <v>1932.4</v>
      </c>
      <c r="K31" s="70"/>
    </row>
    <row r="32" s="54" customFormat="1" ht="28.15" hidden="1" customHeight="1" spans="1:13">
      <c r="A32" s="73"/>
      <c r="B32" s="78" t="s">
        <v>29</v>
      </c>
      <c r="C32" s="90"/>
      <c r="D32" s="90"/>
      <c r="E32" s="91">
        <f>+SUM(E33:E38)</f>
        <v>1364.56</v>
      </c>
      <c r="F32" s="90"/>
      <c r="G32" s="92">
        <f>G33</f>
        <v>1364.56</v>
      </c>
      <c r="H32" s="64" t="s">
        <v>20</v>
      </c>
      <c r="I32" s="81">
        <v>1</v>
      </c>
      <c r="J32" s="67">
        <f t="shared" si="2"/>
        <v>1364.56</v>
      </c>
      <c r="K32" s="70"/>
      <c r="L32" s="54">
        <f>+E32+E39+E41+E45</f>
        <v>1932.4</v>
      </c>
    </row>
    <row r="33" s="54" customFormat="1" ht="28.15" hidden="1" customHeight="1" spans="1:11">
      <c r="A33" s="73"/>
      <c r="B33" s="78" t="s">
        <v>58</v>
      </c>
      <c r="C33" s="90"/>
      <c r="D33" s="90"/>
      <c r="E33" s="90"/>
      <c r="F33" s="90"/>
      <c r="G33" s="92">
        <f>SUM(G34:G38)</f>
        <v>1364.56</v>
      </c>
      <c r="H33" s="64" t="s">
        <v>20</v>
      </c>
      <c r="I33" s="81">
        <v>1</v>
      </c>
      <c r="J33" s="67">
        <f t="shared" si="2"/>
        <v>1364.56</v>
      </c>
      <c r="K33" s="70"/>
    </row>
    <row r="34" s="54" customFormat="1" ht="28.15" hidden="1" customHeight="1" spans="1:11">
      <c r="A34" s="93"/>
      <c r="B34" s="78" t="s">
        <v>59</v>
      </c>
      <c r="C34" s="90"/>
      <c r="D34" s="90"/>
      <c r="E34" s="91">
        <v>470.18</v>
      </c>
      <c r="F34" s="90"/>
      <c r="G34" s="94">
        <f t="shared" ref="G34:G38" si="3">SUM(C34:F34)</f>
        <v>470.18</v>
      </c>
      <c r="H34" s="64" t="s">
        <v>20</v>
      </c>
      <c r="I34" s="81">
        <v>1</v>
      </c>
      <c r="J34" s="67">
        <f t="shared" si="2"/>
        <v>470.18</v>
      </c>
      <c r="K34" s="70"/>
    </row>
    <row r="35" s="54" customFormat="1" ht="28.15" hidden="1" customHeight="1" spans="1:11">
      <c r="A35" s="93"/>
      <c r="B35" s="78" t="s">
        <v>60</v>
      </c>
      <c r="C35" s="90"/>
      <c r="D35" s="90"/>
      <c r="E35" s="91">
        <v>50</v>
      </c>
      <c r="F35" s="91"/>
      <c r="G35" s="94">
        <f t="shared" si="3"/>
        <v>50</v>
      </c>
      <c r="H35" s="64" t="s">
        <v>20</v>
      </c>
      <c r="I35" s="81">
        <v>1</v>
      </c>
      <c r="J35" s="67">
        <f t="shared" si="2"/>
        <v>50</v>
      </c>
      <c r="K35" s="70"/>
    </row>
    <row r="36" s="54" customFormat="1" ht="28.15" hidden="1" customHeight="1" spans="1:11">
      <c r="A36" s="93"/>
      <c r="B36" s="78" t="s">
        <v>61</v>
      </c>
      <c r="C36" s="90"/>
      <c r="D36" s="90"/>
      <c r="E36" s="91">
        <v>294</v>
      </c>
      <c r="F36" s="80"/>
      <c r="G36" s="94">
        <f t="shared" si="3"/>
        <v>294</v>
      </c>
      <c r="H36" s="64" t="s">
        <v>20</v>
      </c>
      <c r="I36" s="81">
        <v>1</v>
      </c>
      <c r="J36" s="67">
        <f t="shared" si="2"/>
        <v>294</v>
      </c>
      <c r="K36" s="70"/>
    </row>
    <row r="37" s="54" customFormat="1" ht="28.15" hidden="1" customHeight="1" spans="1:11">
      <c r="A37" s="93"/>
      <c r="B37" s="78" t="s">
        <v>62</v>
      </c>
      <c r="C37" s="90"/>
      <c r="D37" s="90"/>
      <c r="E37" s="80">
        <v>436.96</v>
      </c>
      <c r="F37" s="90"/>
      <c r="G37" s="94">
        <f t="shared" si="3"/>
        <v>436.96</v>
      </c>
      <c r="H37" s="64" t="s">
        <v>20</v>
      </c>
      <c r="I37" s="81">
        <v>1</v>
      </c>
      <c r="J37" s="67">
        <f t="shared" si="2"/>
        <v>436.96</v>
      </c>
      <c r="K37" s="70"/>
    </row>
    <row r="38" s="54" customFormat="1" ht="28.15" hidden="1" customHeight="1" spans="1:11">
      <c r="A38" s="93"/>
      <c r="B38" s="78" t="s">
        <v>63</v>
      </c>
      <c r="C38" s="90"/>
      <c r="D38" s="90"/>
      <c r="E38" s="80">
        <v>113.42</v>
      </c>
      <c r="F38" s="80"/>
      <c r="G38" s="94">
        <f t="shared" si="3"/>
        <v>113.42</v>
      </c>
      <c r="H38" s="64" t="s">
        <v>20</v>
      </c>
      <c r="I38" s="81">
        <v>1</v>
      </c>
      <c r="J38" s="67">
        <f t="shared" si="2"/>
        <v>113.42</v>
      </c>
      <c r="K38" s="95" t="s">
        <v>64</v>
      </c>
    </row>
    <row r="39" s="54" customFormat="1" ht="28.15" hidden="1" customHeight="1" spans="1:11">
      <c r="A39" s="73"/>
      <c r="B39" s="78" t="s">
        <v>34</v>
      </c>
      <c r="C39" s="90"/>
      <c r="D39" s="90"/>
      <c r="E39" s="91">
        <f>+E40</f>
        <v>56</v>
      </c>
      <c r="F39" s="90"/>
      <c r="G39" s="94">
        <f>SUM(G40)</f>
        <v>56</v>
      </c>
      <c r="H39" s="64" t="s">
        <v>20</v>
      </c>
      <c r="I39" s="81">
        <v>1</v>
      </c>
      <c r="J39" s="67">
        <f t="shared" si="2"/>
        <v>56</v>
      </c>
      <c r="K39" s="70"/>
    </row>
    <row r="40" s="54" customFormat="1" ht="28.15" hidden="1" customHeight="1" spans="1:11">
      <c r="A40" s="93"/>
      <c r="B40" s="78" t="s">
        <v>66</v>
      </c>
      <c r="C40" s="90"/>
      <c r="D40" s="90"/>
      <c r="E40" s="80">
        <v>56</v>
      </c>
      <c r="F40" s="90"/>
      <c r="G40" s="94">
        <v>56</v>
      </c>
      <c r="H40" s="64" t="s">
        <v>20</v>
      </c>
      <c r="I40" s="81">
        <v>1</v>
      </c>
      <c r="J40" s="67">
        <f t="shared" si="2"/>
        <v>56</v>
      </c>
      <c r="K40" s="70"/>
    </row>
    <row r="41" s="54" customFormat="1" ht="28.15" hidden="1" customHeight="1" spans="1:11">
      <c r="A41" s="73"/>
      <c r="B41" s="78" t="s">
        <v>41</v>
      </c>
      <c r="C41" s="90"/>
      <c r="D41" s="90"/>
      <c r="E41" s="80">
        <f>+SUM(E42:E44)</f>
        <v>478.94</v>
      </c>
      <c r="F41" s="90"/>
      <c r="G41" s="94">
        <f>G42</f>
        <v>478.94</v>
      </c>
      <c r="H41" s="64" t="s">
        <v>20</v>
      </c>
      <c r="I41" s="81">
        <v>1</v>
      </c>
      <c r="J41" s="67">
        <f t="shared" si="2"/>
        <v>478.94</v>
      </c>
      <c r="K41" s="70"/>
    </row>
    <row r="42" s="54" customFormat="1" ht="28.15" hidden="1" customHeight="1" spans="1:11">
      <c r="A42" s="73"/>
      <c r="B42" s="78" t="s">
        <v>43</v>
      </c>
      <c r="C42" s="90"/>
      <c r="D42" s="90"/>
      <c r="E42" s="90"/>
      <c r="F42" s="90"/>
      <c r="G42" s="94">
        <f>SUM(G43:G44)</f>
        <v>478.94</v>
      </c>
      <c r="H42" s="64" t="s">
        <v>20</v>
      </c>
      <c r="I42" s="81">
        <v>1</v>
      </c>
      <c r="J42" s="67">
        <f t="shared" si="2"/>
        <v>478.94</v>
      </c>
      <c r="K42" s="70"/>
    </row>
    <row r="43" s="54" customFormat="1" ht="28.15" hidden="1" customHeight="1" spans="1:11">
      <c r="A43" s="73"/>
      <c r="B43" s="78" t="s">
        <v>69</v>
      </c>
      <c r="C43" s="90"/>
      <c r="D43" s="90"/>
      <c r="E43" s="80">
        <f>428.44+36</f>
        <v>464.44</v>
      </c>
      <c r="F43" s="80"/>
      <c r="G43" s="94">
        <f t="shared" ref="G43:G49" si="4">SUM(C43:F43)</f>
        <v>464.44</v>
      </c>
      <c r="H43" s="64" t="s">
        <v>20</v>
      </c>
      <c r="I43" s="81">
        <v>1</v>
      </c>
      <c r="J43" s="67">
        <f t="shared" si="2"/>
        <v>464.44</v>
      </c>
      <c r="K43" s="70"/>
    </row>
    <row r="44" s="54" customFormat="1" ht="28.15" hidden="1" customHeight="1" spans="1:11">
      <c r="A44" s="93"/>
      <c r="B44" s="78" t="s">
        <v>70</v>
      </c>
      <c r="C44" s="90"/>
      <c r="D44" s="90"/>
      <c r="E44" s="80">
        <v>14.5</v>
      </c>
      <c r="F44" s="80"/>
      <c r="G44" s="94">
        <f t="shared" si="4"/>
        <v>14.5</v>
      </c>
      <c r="H44" s="64" t="s">
        <v>20</v>
      </c>
      <c r="I44" s="81">
        <v>1</v>
      </c>
      <c r="J44" s="67">
        <f t="shared" si="2"/>
        <v>14.5</v>
      </c>
      <c r="K44" s="70"/>
    </row>
    <row r="45" s="54" customFormat="1" ht="28.15" hidden="1" customHeight="1" spans="1:11">
      <c r="A45" s="73"/>
      <c r="B45" s="78" t="s">
        <v>51</v>
      </c>
      <c r="C45" s="90"/>
      <c r="D45" s="90"/>
      <c r="E45" s="80">
        <f>+SUM(E46:E49)</f>
        <v>32.9</v>
      </c>
      <c r="F45" s="90"/>
      <c r="G45" s="94">
        <f>G46+G49</f>
        <v>32.9</v>
      </c>
      <c r="H45" s="64" t="s">
        <v>20</v>
      </c>
      <c r="I45" s="81">
        <v>1</v>
      </c>
      <c r="J45" s="67">
        <f t="shared" si="2"/>
        <v>32.9</v>
      </c>
      <c r="K45" s="70"/>
    </row>
    <row r="46" s="54" customFormat="1" ht="28.15" hidden="1" customHeight="1" spans="1:11">
      <c r="A46" s="73">
        <v>5.1</v>
      </c>
      <c r="B46" s="96" t="s">
        <v>73</v>
      </c>
      <c r="C46" s="90"/>
      <c r="D46" s="90"/>
      <c r="E46" s="80"/>
      <c r="F46" s="90"/>
      <c r="G46" s="94">
        <f>SUM(G47:G48)</f>
        <v>25</v>
      </c>
      <c r="H46" s="70"/>
      <c r="I46" s="70"/>
      <c r="J46" s="70"/>
      <c r="K46" s="70"/>
    </row>
    <row r="47" s="54" customFormat="1" ht="28.15" hidden="1" customHeight="1" spans="1:11">
      <c r="A47" s="73"/>
      <c r="B47" s="96" t="s">
        <v>74</v>
      </c>
      <c r="C47" s="90"/>
      <c r="D47" s="90"/>
      <c r="E47" s="80">
        <v>25</v>
      </c>
      <c r="F47" s="90"/>
      <c r="G47" s="94">
        <f t="shared" si="4"/>
        <v>25</v>
      </c>
      <c r="H47" s="70"/>
      <c r="I47" s="70"/>
      <c r="J47" s="70"/>
      <c r="K47" s="70"/>
    </row>
    <row r="48" s="54" customFormat="1" ht="28.15" hidden="1" customHeight="1" spans="1:11">
      <c r="A48" s="73"/>
      <c r="B48" s="96" t="s">
        <v>75</v>
      </c>
      <c r="C48" s="90"/>
      <c r="D48" s="90"/>
      <c r="E48" s="80">
        <v>0</v>
      </c>
      <c r="F48" s="90"/>
      <c r="G48" s="94">
        <f t="shared" si="4"/>
        <v>0</v>
      </c>
      <c r="H48" s="70"/>
      <c r="I48" s="70"/>
      <c r="J48" s="70"/>
      <c r="K48" s="70"/>
    </row>
    <row r="49" s="54" customFormat="1" ht="28.15" hidden="1" customHeight="1" spans="1:15">
      <c r="A49" s="73">
        <v>5.2</v>
      </c>
      <c r="B49" s="96" t="s">
        <v>77</v>
      </c>
      <c r="C49" s="90"/>
      <c r="D49" s="90"/>
      <c r="E49" s="80">
        <v>7.9</v>
      </c>
      <c r="F49" s="90"/>
      <c r="G49" s="94">
        <f t="shared" si="4"/>
        <v>7.9</v>
      </c>
      <c r="H49" s="64" t="s">
        <v>30</v>
      </c>
      <c r="I49" s="66">
        <v>1</v>
      </c>
      <c r="J49" s="70"/>
      <c r="K49" s="70"/>
    </row>
    <row r="50" s="54" customFormat="1" ht="28.15" customHeight="1" spans="1:15">
      <c r="A50" s="73" t="s">
        <v>24</v>
      </c>
      <c r="B50" s="78" t="s">
        <v>78</v>
      </c>
      <c r="C50" s="89">
        <f>+C52</f>
        <v>314.97</v>
      </c>
      <c r="D50" s="65"/>
      <c r="E50" s="87"/>
      <c r="F50" s="65"/>
      <c r="G50" s="64">
        <f>G51</f>
        <v>314.97</v>
      </c>
      <c r="H50" s="64" t="s">
        <v>20</v>
      </c>
      <c r="I50" s="81">
        <v>1</v>
      </c>
      <c r="J50" s="67">
        <f>+G50/I50</f>
        <v>314.97</v>
      </c>
      <c r="K50" s="88"/>
    </row>
    <row r="51" s="54" customFormat="1" ht="28.15" customHeight="1" spans="1:15">
      <c r="A51" s="73"/>
      <c r="B51" s="78" t="s">
        <v>79</v>
      </c>
      <c r="C51" s="89">
        <f>+C52</f>
        <v>314.97</v>
      </c>
      <c r="D51" s="89">
        <f>+D52</f>
        <v>0</v>
      </c>
      <c r="E51" s="89">
        <f>+E52</f>
        <v>0</v>
      </c>
      <c r="F51" s="65"/>
      <c r="G51" s="80">
        <f>SUM(G52:G52)</f>
        <v>314.97</v>
      </c>
      <c r="H51" s="64" t="s">
        <v>20</v>
      </c>
      <c r="I51" s="81">
        <v>1</v>
      </c>
      <c r="J51" s="67">
        <f>+G51/I51</f>
        <v>314.97</v>
      </c>
      <c r="K51" s="88"/>
    </row>
    <row r="52" s="54" customFormat="1" ht="28.15" hidden="1" customHeight="1" spans="1:15">
      <c r="A52" s="73"/>
      <c r="B52" s="78" t="s">
        <v>80</v>
      </c>
      <c r="C52" s="82">
        <f>J52/10000</f>
        <v>314.97</v>
      </c>
      <c r="D52" s="64"/>
      <c r="E52" s="79"/>
      <c r="F52" s="65"/>
      <c r="G52" s="64">
        <f>SUM(C52:F52)</f>
        <v>314.97</v>
      </c>
      <c r="H52" s="64" t="s">
        <v>20</v>
      </c>
      <c r="I52" s="81">
        <v>1</v>
      </c>
      <c r="J52" s="66">
        <v>3149651</v>
      </c>
      <c r="K52" s="88"/>
    </row>
    <row r="53" s="54" customFormat="1" ht="28.15" customHeight="1" spans="1:15">
      <c r="A53" s="73" t="s">
        <v>28</v>
      </c>
      <c r="B53" s="69" t="s">
        <v>81</v>
      </c>
      <c r="C53" s="97"/>
      <c r="D53" s="98"/>
      <c r="E53" s="75">
        <v>449.4</v>
      </c>
      <c r="F53" s="75"/>
      <c r="G53" s="70">
        <v>449.4</v>
      </c>
      <c r="H53" s="64" t="s">
        <v>20</v>
      </c>
      <c r="I53" s="81">
        <v>1</v>
      </c>
      <c r="J53" s="67">
        <f>+G53/I53</f>
        <v>449.4</v>
      </c>
      <c r="K53" s="99"/>
    </row>
    <row r="54" s="54" customFormat="1" ht="28.15" customHeight="1" spans="1:15">
      <c r="A54" s="93" t="s">
        <v>82</v>
      </c>
      <c r="B54" s="69" t="s">
        <v>83</v>
      </c>
      <c r="C54" s="100"/>
      <c r="D54" s="101"/>
      <c r="E54" s="101"/>
      <c r="F54" s="102"/>
      <c r="G54" s="92">
        <f ca="1">+概算表!F54</f>
        <v>399.17</v>
      </c>
      <c r="H54" s="103" t="s">
        <v>84</v>
      </c>
      <c r="I54" s="104"/>
      <c r="J54" s="104"/>
      <c r="K54" s="105"/>
    </row>
    <row r="55" ht="28.15" customHeight="1" spans="1:15">
      <c r="A55" s="81">
        <v>1</v>
      </c>
      <c r="B55" s="106" t="s">
        <v>85</v>
      </c>
      <c r="C55" s="100"/>
      <c r="D55" s="101"/>
      <c r="E55" s="101"/>
      <c r="F55" s="102"/>
      <c r="G55" s="64">
        <f ca="1">IF((G72)&gt;100000,((G72)-100000)*0.4%+940,IF((G72)&gt;50000,((G72)-50000)*0.8%+540,IF((G72)&gt;10000,((G72)-10000)*1%+140,IF((G72)&gt;5000,((G72)-5000)*1.2%+80,IF((G72)&gt;1000,((G72)-1000)*1.5%+20,(G72)*2%)))))</f>
        <v>110.01</v>
      </c>
      <c r="H55" s="107" t="s">
        <v>86</v>
      </c>
      <c r="I55" s="108"/>
      <c r="J55" s="108"/>
      <c r="K55" s="109"/>
    </row>
    <row r="56" ht="28.15" customHeight="1" spans="1:15">
      <c r="A56" s="81">
        <f>A55+1</f>
        <v>2</v>
      </c>
      <c r="B56" s="106" t="s">
        <v>87</v>
      </c>
      <c r="C56" s="100" t="s">
        <v>88</v>
      </c>
      <c r="D56" s="101"/>
      <c r="E56" s="101"/>
      <c r="F56" s="102"/>
      <c r="G56" s="64">
        <v>4.97</v>
      </c>
      <c r="H56" s="107" t="s">
        <v>89</v>
      </c>
      <c r="I56" s="108"/>
      <c r="J56" s="108"/>
      <c r="K56" s="109"/>
    </row>
    <row r="57" ht="28.15" customHeight="1" spans="1:15">
      <c r="A57" s="81">
        <v>3</v>
      </c>
      <c r="B57" s="106" t="s">
        <v>90</v>
      </c>
      <c r="C57" s="100"/>
      <c r="D57" s="101"/>
      <c r="E57" s="101"/>
      <c r="F57" s="102"/>
      <c r="G57" s="64">
        <v>1.75</v>
      </c>
      <c r="H57" s="107" t="s">
        <v>89</v>
      </c>
      <c r="I57" s="108"/>
      <c r="J57" s="108"/>
      <c r="K57" s="109"/>
    </row>
    <row r="58" ht="28.15" customHeight="1" spans="1:15">
      <c r="A58" s="81">
        <v>4</v>
      </c>
      <c r="B58" s="110" t="s">
        <v>91</v>
      </c>
      <c r="C58" s="100"/>
      <c r="D58" s="101"/>
      <c r="E58" s="101"/>
      <c r="F58" s="102"/>
      <c r="G58" s="64">
        <f>37440/10000</f>
        <v>3.74</v>
      </c>
      <c r="H58" s="107" t="s">
        <v>89</v>
      </c>
      <c r="I58" s="108"/>
      <c r="J58" s="108"/>
      <c r="K58" s="109"/>
    </row>
    <row r="59" ht="28.15" customHeight="1" spans="1:15">
      <c r="A59" s="81">
        <v>5</v>
      </c>
      <c r="B59" s="106" t="s">
        <v>92</v>
      </c>
      <c r="C59" s="100"/>
      <c r="D59" s="101"/>
      <c r="E59" s="101"/>
      <c r="F59" s="102"/>
      <c r="G59" s="64">
        <f>860886.72/10000</f>
        <v>86.09</v>
      </c>
      <c r="H59" s="107" t="s">
        <v>89</v>
      </c>
      <c r="I59" s="108"/>
      <c r="J59" s="108"/>
      <c r="K59" s="109"/>
    </row>
    <row r="60" ht="28.15" customHeight="1" spans="1:15">
      <c r="A60" s="81">
        <v>6</v>
      </c>
      <c r="B60" s="106" t="s">
        <v>93</v>
      </c>
      <c r="C60" s="100" t="s">
        <v>131</v>
      </c>
      <c r="D60" s="101"/>
      <c r="E60" s="101"/>
      <c r="F60" s="102"/>
      <c r="G60" s="64">
        <f>620908.8/10000</f>
        <v>62.09</v>
      </c>
      <c r="H60" s="107" t="s">
        <v>89</v>
      </c>
      <c r="I60" s="108"/>
      <c r="J60" s="108"/>
      <c r="K60" s="109"/>
      <c r="O60" s="56">
        <f ca="1">IF((G72)&gt;100000,((G72)-100000)*0.4%+940,IF((G72)&gt;50000,((G72)-50000)*0.8%+540,IF((G72)&gt;10000,((G72)-10000)*1%+140,IF((G72)&gt;5000,((G72)-5000)*1.2%+80,IF((G72)&gt;1000,((G72)-1000)*1.5%+20,(G72)*2%)))))</f>
        <v>110.01</v>
      </c>
    </row>
    <row r="61" ht="28.15" customHeight="1" spans="1:15">
      <c r="A61" s="81">
        <v>7</v>
      </c>
      <c r="B61" s="106" t="s">
        <v>94</v>
      </c>
      <c r="C61" s="100" t="s">
        <v>95</v>
      </c>
      <c r="D61" s="101"/>
      <c r="E61" s="101"/>
      <c r="F61" s="102"/>
      <c r="G61" s="64">
        <f>IF($G$6&gt;20000,($G$6-20000)*0.015%+10000*0.03%+5000*0.06%+4000*0.08%+500*0.11%+400*0.14%+100*0.17%,IF($G$6&gt;10000,($G$6-10000)*0.03%+5000*0.06%+4000*0.08%+500*0.11%+400*0.14%+100*0.17%,IF($G$6&gt;5000,($G$6-5000)*0.06%+4000*0.08%+500*0.11%+400*0.14%+100*0.17%,IF($G$6&gt;1000,($G$6-1000)*0.08%+500*0.11%+400*0.14%+100*0.17%,IF($G$6&gt;500,($G$6-500)*0.11%+400*0.14%+100*0.17%,IF($G$6&gt;100,($G$6-100)*0.14%+100*0.17%,$G$6*0.17%))))))+G58*3.5%</f>
        <v>4.57</v>
      </c>
      <c r="H61" s="107" t="s">
        <v>96</v>
      </c>
      <c r="I61" s="108"/>
      <c r="J61" s="108"/>
      <c r="K61" s="109"/>
    </row>
    <row r="62" ht="28.15" customHeight="1" spans="1:15">
      <c r="A62" s="81">
        <v>8</v>
      </c>
      <c r="B62" s="106" t="s">
        <v>97</v>
      </c>
      <c r="C62" s="100"/>
      <c r="D62" s="101"/>
      <c r="E62" s="101"/>
      <c r="F62" s="102"/>
      <c r="G62" s="64">
        <f>IF($G$6&gt;100000,($G$6-100000)*0.008%+50000*0.035%+40000*0.05%+5000*0.2%+4000*0.35%+500*0.55%+400*0.7%+100*1%,IF($G$6&gt;50000,($G$6-50000)*0.035%+40000*0.05%+5000*0.2%+4000*0.35%+500*0.55%+400*0.7%+100*1%,IF($G$6&gt;10000,($G$6-10000)*0.05%+5000*0.2%+4000*0.35%+500*0.55%+400*0.7%+100*1%,IF($G$6&gt;5000,($G$6-5000)*0.2%+4000*0.35%+500*0.55%+400*0.7%+100*1%,IF($G$6&gt;1000,($G$6-1000)*0.35%+500*0.55%+400*0.7%+100*1%,IF($G$6&gt;500,($G$6-500)*0.55%+400*0.7%+100*1%,IF($G$6&gt;100,($G$6-100)*0.7%+100*1%,$G$6*1%)))))))+IF((L62)&gt;100000,((L62)-100000)*0.008%+50000*0.035%+40000*0.05%+5000*0.1%+4000*0.25%+500*0.45%+400*0.8%+100*1.5%,IF((L62)&gt;50000,((L62)-50000)*0.035%+40000*0.05%+5000*0.1%+4000*0.25%+500*0.45%+400*0.8%+100*1.5%,IF((L62)&gt;10000,((L62)-10000)*0.05%+5000*0.1%+4000*0.25%+500*0.45%+400*0.8%+100*1.5%,IF((L62)&gt;5000,((L62)-5000)*0.1%+4000*0.25%+500*0.45%+400*0.8%+100*1.5%,IF((L62)&gt;1000,((L62)-1000)*0.25%+500*0.45%+400*0.8%+100*1.5%,IF((L62)&gt;500,((L62)-500)*0.45%+400*0.8%+100*1.5%,IF((L62)&gt;100,((L62)-100)*0.8%+100*1.5%,(L62)*1.5%)))))))*0.6</f>
        <v>21.53</v>
      </c>
      <c r="H62" s="107" t="s">
        <v>98</v>
      </c>
      <c r="I62" s="108"/>
      <c r="J62" s="108"/>
      <c r="K62" s="109"/>
      <c r="L62" s="56">
        <f>G59+G58+G60</f>
        <v>151.92</v>
      </c>
    </row>
    <row r="63" ht="28.15" customHeight="1" spans="1:15">
      <c r="A63" s="81">
        <v>9</v>
      </c>
      <c r="B63" s="111" t="s">
        <v>99</v>
      </c>
      <c r="C63" s="100"/>
      <c r="D63" s="101"/>
      <c r="E63" s="101"/>
      <c r="F63" s="102"/>
      <c r="G63" s="64">
        <f>285235.2/10000</f>
        <v>28.52</v>
      </c>
      <c r="H63" s="107" t="s">
        <v>89</v>
      </c>
      <c r="I63" s="108"/>
      <c r="J63" s="108"/>
      <c r="K63" s="109"/>
    </row>
    <row r="64" ht="28.15" customHeight="1" spans="1:15">
      <c r="A64" s="81">
        <f t="shared" ref="A64:A70" si="5">A63+1</f>
        <v>10</v>
      </c>
      <c r="B64" s="106" t="s">
        <v>100</v>
      </c>
      <c r="C64" s="100"/>
      <c r="D64" s="101"/>
      <c r="E64" s="101"/>
      <c r="F64" s="102"/>
      <c r="G64" s="64">
        <v>4.2</v>
      </c>
      <c r="H64" s="107" t="s">
        <v>101</v>
      </c>
      <c r="I64" s="108"/>
      <c r="J64" s="108"/>
      <c r="K64" s="109"/>
    </row>
    <row r="65" ht="28.15" customHeight="1" spans="1:12">
      <c r="A65" s="81">
        <f t="shared" si="5"/>
        <v>11</v>
      </c>
      <c r="B65" s="106" t="s">
        <v>102</v>
      </c>
      <c r="C65" s="100"/>
      <c r="D65" s="101"/>
      <c r="E65" s="101"/>
      <c r="F65" s="102"/>
      <c r="G65" s="64">
        <f>14400/10000</f>
        <v>1.44</v>
      </c>
      <c r="H65" s="107" t="s">
        <v>89</v>
      </c>
      <c r="I65" s="108"/>
      <c r="J65" s="108"/>
      <c r="K65" s="109"/>
    </row>
    <row r="66" ht="28.15" customHeight="1" spans="1:12">
      <c r="A66" s="81">
        <f t="shared" si="5"/>
        <v>12</v>
      </c>
      <c r="B66" s="78" t="s">
        <v>103</v>
      </c>
      <c r="C66" s="100"/>
      <c r="D66" s="101"/>
      <c r="E66" s="101"/>
      <c r="F66" s="102"/>
      <c r="G66" s="64">
        <f>G6*0.5%</f>
        <v>24.75</v>
      </c>
      <c r="H66" s="107" t="s">
        <v>104</v>
      </c>
      <c r="I66" s="108"/>
      <c r="J66" s="108"/>
      <c r="K66" s="109"/>
    </row>
    <row r="67" ht="28.15" customHeight="1" spans="1:12">
      <c r="A67" s="81">
        <f t="shared" si="5"/>
        <v>13</v>
      </c>
      <c r="B67" s="106" t="s">
        <v>105</v>
      </c>
      <c r="C67" s="100" t="s">
        <v>106</v>
      </c>
      <c r="D67" s="101"/>
      <c r="E67" s="101"/>
      <c r="F67" s="102"/>
      <c r="G67" s="64">
        <f>$G$6*0.4%</f>
        <v>19.8</v>
      </c>
      <c r="H67" s="107" t="s">
        <v>107</v>
      </c>
      <c r="I67" s="108"/>
      <c r="J67" s="108"/>
      <c r="K67" s="109"/>
    </row>
    <row r="68" s="54" customFormat="1" ht="28.15" customHeight="1" spans="1:12">
      <c r="A68" s="81">
        <f t="shared" si="5"/>
        <v>14</v>
      </c>
      <c r="B68" s="106" t="s">
        <v>108</v>
      </c>
      <c r="C68" s="100" t="s">
        <v>158</v>
      </c>
      <c r="D68" s="101"/>
      <c r="E68" s="101"/>
      <c r="F68" s="102"/>
      <c r="G68" s="64">
        <f>$G$6*0.2%</f>
        <v>9.9</v>
      </c>
      <c r="H68" s="107" t="s">
        <v>110</v>
      </c>
      <c r="I68" s="108"/>
      <c r="J68" s="108"/>
      <c r="K68" s="109"/>
    </row>
    <row r="69" ht="28.15" customHeight="1" spans="1:12">
      <c r="A69" s="81">
        <f t="shared" si="5"/>
        <v>15</v>
      </c>
      <c r="B69" s="106" t="s">
        <v>111</v>
      </c>
      <c r="C69" s="100" t="s">
        <v>159</v>
      </c>
      <c r="D69" s="101"/>
      <c r="E69" s="101"/>
      <c r="F69" s="102"/>
      <c r="G69" s="64">
        <f>$G$6*10%*0.8%</f>
        <v>3.96</v>
      </c>
      <c r="H69" s="107" t="s">
        <v>113</v>
      </c>
      <c r="I69" s="108"/>
      <c r="J69" s="108"/>
      <c r="K69" s="109"/>
    </row>
    <row r="70" ht="28.15" customHeight="1" spans="1:12">
      <c r="A70" s="81">
        <f t="shared" si="5"/>
        <v>16</v>
      </c>
      <c r="B70" s="106" t="s">
        <v>114</v>
      </c>
      <c r="C70" s="100" t="s">
        <v>115</v>
      </c>
      <c r="D70" s="101"/>
      <c r="E70" s="101"/>
      <c r="F70" s="102"/>
      <c r="G70" s="64">
        <f>(E31+E53)*0.015</f>
        <v>35.73</v>
      </c>
      <c r="H70" s="107"/>
      <c r="I70" s="108"/>
      <c r="J70" s="108"/>
      <c r="K70" s="109"/>
    </row>
    <row r="71" ht="28.15" customHeight="1" spans="1:12">
      <c r="A71" s="112" t="s">
        <v>116</v>
      </c>
      <c r="B71" s="113" t="s">
        <v>117</v>
      </c>
      <c r="C71" s="114" t="s">
        <v>118</v>
      </c>
      <c r="D71" s="114"/>
      <c r="E71" s="114"/>
      <c r="F71" s="114"/>
      <c r="G71" s="115">
        <f ca="1">($G$6+G54)*3%</f>
        <v>218.48</v>
      </c>
      <c r="H71" s="70"/>
      <c r="I71" s="70"/>
      <c r="J71" s="70"/>
      <c r="K71" s="70"/>
    </row>
    <row r="72" ht="28.15" customHeight="1" spans="1:12">
      <c r="A72" s="116" t="s">
        <v>119</v>
      </c>
      <c r="B72" s="113" t="s">
        <v>120</v>
      </c>
      <c r="C72" s="114"/>
      <c r="D72" s="114"/>
      <c r="E72" s="114"/>
      <c r="F72" s="114"/>
      <c r="G72" s="115">
        <f ca="1">G6+G54+G71</f>
        <v>7501.03</v>
      </c>
      <c r="H72" s="70"/>
      <c r="I72" s="70"/>
      <c r="J72" s="70"/>
      <c r="K72" s="70"/>
      <c r="L72" s="56">
        <f>5524.25*1.1</f>
        <v>6076.68</v>
      </c>
    </row>
    <row r="73" ht="28.15" customHeight="1" spans="1:12">
      <c r="A73" s="116"/>
      <c r="B73" s="113"/>
      <c r="C73" s="114"/>
      <c r="D73" s="114"/>
      <c r="E73" s="114"/>
      <c r="F73" s="114"/>
      <c r="G73" s="115"/>
      <c r="H73" s="70"/>
      <c r="I73" s="70"/>
      <c r="J73" s="70"/>
      <c r="K73" s="70"/>
    </row>
    <row r="74" ht="28.15" customHeight="1" spans="1:12">
      <c r="A74" s="117" t="s">
        <v>160</v>
      </c>
      <c r="B74" s="117"/>
      <c r="C74" s="117"/>
      <c r="D74" s="117"/>
      <c r="E74" s="117"/>
      <c r="F74" s="117"/>
      <c r="G74" s="117"/>
      <c r="H74" s="117"/>
      <c r="I74" s="117"/>
      <c r="J74" s="117"/>
      <c r="K74" s="117"/>
    </row>
  </sheetData>
  <mergeCells count="49">
    <mergeCell ref="A1:K1"/>
    <mergeCell ref="C3:G3"/>
    <mergeCell ref="H3:J3"/>
    <mergeCell ref="C54:F54"/>
    <mergeCell ref="H54:K54"/>
    <mergeCell ref="C55:F55"/>
    <mergeCell ref="H55:K55"/>
    <mergeCell ref="C56:F56"/>
    <mergeCell ref="H56:K56"/>
    <mergeCell ref="H57:K57"/>
    <mergeCell ref="C58:F58"/>
    <mergeCell ref="H58:K58"/>
    <mergeCell ref="C59:F59"/>
    <mergeCell ref="H59:K59"/>
    <mergeCell ref="C60:F60"/>
    <mergeCell ref="H60:K60"/>
    <mergeCell ref="C61:F61"/>
    <mergeCell ref="H61:K61"/>
    <mergeCell ref="C62:F62"/>
    <mergeCell ref="H62:K62"/>
    <mergeCell ref="C63:F63"/>
    <mergeCell ref="H63:K63"/>
    <mergeCell ref="C64:F64"/>
    <mergeCell ref="H64:K64"/>
    <mergeCell ref="C65:F65"/>
    <mergeCell ref="H65:K65"/>
    <mergeCell ref="C66:F66"/>
    <mergeCell ref="H66:K66"/>
    <mergeCell ref="C67:F67"/>
    <mergeCell ref="H67:K67"/>
    <mergeCell ref="C68:F68"/>
    <mergeCell ref="H68:K68"/>
    <mergeCell ref="C69:F69"/>
    <mergeCell ref="H69:K69"/>
    <mergeCell ref="C70:F70"/>
    <mergeCell ref="H70:K70"/>
    <mergeCell ref="C71:F71"/>
    <mergeCell ref="H71:K71"/>
    <mergeCell ref="C72:F72"/>
    <mergeCell ref="H72:K72"/>
    <mergeCell ref="C73:F73"/>
    <mergeCell ref="H73:K73"/>
    <mergeCell ref="A74:K74"/>
    <mergeCell ref="A3:A5"/>
    <mergeCell ref="B3:B5"/>
    <mergeCell ref="G4:G5"/>
    <mergeCell ref="H4:H5"/>
    <mergeCell ref="I4:I5"/>
    <mergeCell ref="K3:K5"/>
  </mergeCells>
  <printOptions horizontalCentered="1"/>
  <pageMargins left="0.62992125984252" right="0.275590551181102" top="0.551181102362205" bottom="0.196850393700787" header="0.393700787401575" footer="0.15748031496063"/>
  <pageSetup paperSize="9" scale="80"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4"/>
  <sheetViews>
    <sheetView view="pageBreakPreview" zoomScaleNormal="100" workbookViewId="0">
      <selection activeCell="A2" sqref="A2"/>
    </sheetView>
  </sheetViews>
  <sheetFormatPr defaultColWidth="10.2857142857143" defaultRowHeight="22.5" customHeight="1"/>
  <cols>
    <col min="1" max="1" width="10.7142857142857" style="5" customWidth="1"/>
    <col min="2" max="3" width="30.7142857142857" style="5" customWidth="1"/>
    <col min="4" max="4" width="30.7142857142857" style="6" customWidth="1"/>
    <col min="5" max="5" width="24.7142857142857" style="5" customWidth="1"/>
    <col min="6" max="6" width="25.7142857142857" style="5" customWidth="1"/>
    <col min="7" max="11" width="11.2857142857143" style="5" hidden="1" customWidth="1"/>
    <col min="12" max="12" width="10.2857142857143" style="5" hidden="1" customWidth="1"/>
    <col min="13" max="239" width="10.2857142857143" style="5"/>
    <col min="257" max="257" width="10.7142857142857" customWidth="1"/>
    <col min="258" max="260" width="30.7142857142857" customWidth="1"/>
    <col min="261" max="261" width="24.7142857142857" customWidth="1"/>
    <col min="262" max="262" width="25.7142857142857" customWidth="1"/>
    <col min="263" max="268" width="10.2857142857143" hidden="1" customWidth="1"/>
    <col min="513" max="513" width="10.7142857142857" customWidth="1"/>
    <col min="514" max="516" width="30.7142857142857" customWidth="1"/>
    <col min="517" max="517" width="24.7142857142857" customWidth="1"/>
    <col min="518" max="518" width="25.7142857142857" customWidth="1"/>
    <col min="519" max="524" width="10.2857142857143" hidden="1" customWidth="1"/>
    <col min="769" max="769" width="10.7142857142857" customWidth="1"/>
    <col min="770" max="772" width="30.7142857142857" customWidth="1"/>
    <col min="773" max="773" width="24.7142857142857" customWidth="1"/>
    <col min="774" max="774" width="25.7142857142857" customWidth="1"/>
    <col min="775" max="780" width="10.2857142857143" hidden="1" customWidth="1"/>
    <col min="1025" max="1025" width="10.7142857142857" customWidth="1"/>
    <col min="1026" max="1028" width="30.7142857142857" customWidth="1"/>
    <col min="1029" max="1029" width="24.7142857142857" customWidth="1"/>
    <col min="1030" max="1030" width="25.7142857142857" customWidth="1"/>
    <col min="1031" max="1036" width="10.2857142857143" hidden="1" customWidth="1"/>
    <col min="1281" max="1281" width="10.7142857142857" customWidth="1"/>
    <col min="1282" max="1284" width="30.7142857142857" customWidth="1"/>
    <col min="1285" max="1285" width="24.7142857142857" customWidth="1"/>
    <col min="1286" max="1286" width="25.7142857142857" customWidth="1"/>
    <col min="1287" max="1292" width="10.2857142857143" hidden="1" customWidth="1"/>
    <col min="1537" max="1537" width="10.7142857142857" customWidth="1"/>
    <col min="1538" max="1540" width="30.7142857142857" customWidth="1"/>
    <col min="1541" max="1541" width="24.7142857142857" customWidth="1"/>
    <col min="1542" max="1542" width="25.7142857142857" customWidth="1"/>
    <col min="1543" max="1548" width="10.2857142857143" hidden="1" customWidth="1"/>
    <col min="1793" max="1793" width="10.7142857142857" customWidth="1"/>
    <col min="1794" max="1796" width="30.7142857142857" customWidth="1"/>
    <col min="1797" max="1797" width="24.7142857142857" customWidth="1"/>
    <col min="1798" max="1798" width="25.7142857142857" customWidth="1"/>
    <col min="1799" max="1804" width="10.2857142857143" hidden="1" customWidth="1"/>
    <col min="2049" max="2049" width="10.7142857142857" customWidth="1"/>
    <col min="2050" max="2052" width="30.7142857142857" customWidth="1"/>
    <col min="2053" max="2053" width="24.7142857142857" customWidth="1"/>
    <col min="2054" max="2054" width="25.7142857142857" customWidth="1"/>
    <col min="2055" max="2060" width="10.2857142857143" hidden="1" customWidth="1"/>
    <col min="2305" max="2305" width="10.7142857142857" customWidth="1"/>
    <col min="2306" max="2308" width="30.7142857142857" customWidth="1"/>
    <col min="2309" max="2309" width="24.7142857142857" customWidth="1"/>
    <col min="2310" max="2310" width="25.7142857142857" customWidth="1"/>
    <col min="2311" max="2316" width="10.2857142857143" hidden="1" customWidth="1"/>
    <col min="2561" max="2561" width="10.7142857142857" customWidth="1"/>
    <col min="2562" max="2564" width="30.7142857142857" customWidth="1"/>
    <col min="2565" max="2565" width="24.7142857142857" customWidth="1"/>
    <col min="2566" max="2566" width="25.7142857142857" customWidth="1"/>
    <col min="2567" max="2572" width="10.2857142857143" hidden="1" customWidth="1"/>
    <col min="2817" max="2817" width="10.7142857142857" customWidth="1"/>
    <col min="2818" max="2820" width="30.7142857142857" customWidth="1"/>
    <col min="2821" max="2821" width="24.7142857142857" customWidth="1"/>
    <col min="2822" max="2822" width="25.7142857142857" customWidth="1"/>
    <col min="2823" max="2828" width="10.2857142857143" hidden="1" customWidth="1"/>
    <col min="3073" max="3073" width="10.7142857142857" customWidth="1"/>
    <col min="3074" max="3076" width="30.7142857142857" customWidth="1"/>
    <col min="3077" max="3077" width="24.7142857142857" customWidth="1"/>
    <col min="3078" max="3078" width="25.7142857142857" customWidth="1"/>
    <col min="3079" max="3084" width="10.2857142857143" hidden="1" customWidth="1"/>
    <col min="3329" max="3329" width="10.7142857142857" customWidth="1"/>
    <col min="3330" max="3332" width="30.7142857142857" customWidth="1"/>
    <col min="3333" max="3333" width="24.7142857142857" customWidth="1"/>
    <col min="3334" max="3334" width="25.7142857142857" customWidth="1"/>
    <col min="3335" max="3340" width="10.2857142857143" hidden="1" customWidth="1"/>
    <col min="3585" max="3585" width="10.7142857142857" customWidth="1"/>
    <col min="3586" max="3588" width="30.7142857142857" customWidth="1"/>
    <col min="3589" max="3589" width="24.7142857142857" customWidth="1"/>
    <col min="3590" max="3590" width="25.7142857142857" customWidth="1"/>
    <col min="3591" max="3596" width="10.2857142857143" hidden="1" customWidth="1"/>
    <col min="3841" max="3841" width="10.7142857142857" customWidth="1"/>
    <col min="3842" max="3844" width="30.7142857142857" customWidth="1"/>
    <col min="3845" max="3845" width="24.7142857142857" customWidth="1"/>
    <col min="3846" max="3846" width="25.7142857142857" customWidth="1"/>
    <col min="3847" max="3852" width="10.2857142857143" hidden="1" customWidth="1"/>
    <col min="4097" max="4097" width="10.7142857142857" customWidth="1"/>
    <col min="4098" max="4100" width="30.7142857142857" customWidth="1"/>
    <col min="4101" max="4101" width="24.7142857142857" customWidth="1"/>
    <col min="4102" max="4102" width="25.7142857142857" customWidth="1"/>
    <col min="4103" max="4108" width="10.2857142857143" hidden="1" customWidth="1"/>
    <col min="4353" max="4353" width="10.7142857142857" customWidth="1"/>
    <col min="4354" max="4356" width="30.7142857142857" customWidth="1"/>
    <col min="4357" max="4357" width="24.7142857142857" customWidth="1"/>
    <col min="4358" max="4358" width="25.7142857142857" customWidth="1"/>
    <col min="4359" max="4364" width="10.2857142857143" hidden="1" customWidth="1"/>
    <col min="4609" max="4609" width="10.7142857142857" customWidth="1"/>
    <col min="4610" max="4612" width="30.7142857142857" customWidth="1"/>
    <col min="4613" max="4613" width="24.7142857142857" customWidth="1"/>
    <col min="4614" max="4614" width="25.7142857142857" customWidth="1"/>
    <col min="4615" max="4620" width="10.2857142857143" hidden="1" customWidth="1"/>
    <col min="4865" max="4865" width="10.7142857142857" customWidth="1"/>
    <col min="4866" max="4868" width="30.7142857142857" customWidth="1"/>
    <col min="4869" max="4869" width="24.7142857142857" customWidth="1"/>
    <col min="4870" max="4870" width="25.7142857142857" customWidth="1"/>
    <col min="4871" max="4876" width="10.2857142857143" hidden="1" customWidth="1"/>
    <col min="5121" max="5121" width="10.7142857142857" customWidth="1"/>
    <col min="5122" max="5124" width="30.7142857142857" customWidth="1"/>
    <col min="5125" max="5125" width="24.7142857142857" customWidth="1"/>
    <col min="5126" max="5126" width="25.7142857142857" customWidth="1"/>
    <col min="5127" max="5132" width="10.2857142857143" hidden="1" customWidth="1"/>
    <col min="5377" max="5377" width="10.7142857142857" customWidth="1"/>
    <col min="5378" max="5380" width="30.7142857142857" customWidth="1"/>
    <col min="5381" max="5381" width="24.7142857142857" customWidth="1"/>
    <col min="5382" max="5382" width="25.7142857142857" customWidth="1"/>
    <col min="5383" max="5388" width="10.2857142857143" hidden="1" customWidth="1"/>
    <col min="5633" max="5633" width="10.7142857142857" customWidth="1"/>
    <col min="5634" max="5636" width="30.7142857142857" customWidth="1"/>
    <col min="5637" max="5637" width="24.7142857142857" customWidth="1"/>
    <col min="5638" max="5638" width="25.7142857142857" customWidth="1"/>
    <col min="5639" max="5644" width="10.2857142857143" hidden="1" customWidth="1"/>
    <col min="5889" max="5889" width="10.7142857142857" customWidth="1"/>
    <col min="5890" max="5892" width="30.7142857142857" customWidth="1"/>
    <col min="5893" max="5893" width="24.7142857142857" customWidth="1"/>
    <col min="5894" max="5894" width="25.7142857142857" customWidth="1"/>
    <col min="5895" max="5900" width="10.2857142857143" hidden="1" customWidth="1"/>
    <col min="6145" max="6145" width="10.7142857142857" customWidth="1"/>
    <col min="6146" max="6148" width="30.7142857142857" customWidth="1"/>
    <col min="6149" max="6149" width="24.7142857142857" customWidth="1"/>
    <col min="6150" max="6150" width="25.7142857142857" customWidth="1"/>
    <col min="6151" max="6156" width="10.2857142857143" hidden="1" customWidth="1"/>
    <col min="6401" max="6401" width="10.7142857142857" customWidth="1"/>
    <col min="6402" max="6404" width="30.7142857142857" customWidth="1"/>
    <col min="6405" max="6405" width="24.7142857142857" customWidth="1"/>
    <col min="6406" max="6406" width="25.7142857142857" customWidth="1"/>
    <col min="6407" max="6412" width="10.2857142857143" hidden="1" customWidth="1"/>
    <col min="6657" max="6657" width="10.7142857142857" customWidth="1"/>
    <col min="6658" max="6660" width="30.7142857142857" customWidth="1"/>
    <col min="6661" max="6661" width="24.7142857142857" customWidth="1"/>
    <col min="6662" max="6662" width="25.7142857142857" customWidth="1"/>
    <col min="6663" max="6668" width="10.2857142857143" hidden="1" customWidth="1"/>
    <col min="6913" max="6913" width="10.7142857142857" customWidth="1"/>
    <col min="6914" max="6916" width="30.7142857142857" customWidth="1"/>
    <col min="6917" max="6917" width="24.7142857142857" customWidth="1"/>
    <col min="6918" max="6918" width="25.7142857142857" customWidth="1"/>
    <col min="6919" max="6924" width="10.2857142857143" hidden="1" customWidth="1"/>
    <col min="7169" max="7169" width="10.7142857142857" customWidth="1"/>
    <col min="7170" max="7172" width="30.7142857142857" customWidth="1"/>
    <col min="7173" max="7173" width="24.7142857142857" customWidth="1"/>
    <col min="7174" max="7174" width="25.7142857142857" customWidth="1"/>
    <col min="7175" max="7180" width="10.2857142857143" hidden="1" customWidth="1"/>
    <col min="7425" max="7425" width="10.7142857142857" customWidth="1"/>
    <col min="7426" max="7428" width="30.7142857142857" customWidth="1"/>
    <col min="7429" max="7429" width="24.7142857142857" customWidth="1"/>
    <col min="7430" max="7430" width="25.7142857142857" customWidth="1"/>
    <col min="7431" max="7436" width="10.2857142857143" hidden="1" customWidth="1"/>
    <col min="7681" max="7681" width="10.7142857142857" customWidth="1"/>
    <col min="7682" max="7684" width="30.7142857142857" customWidth="1"/>
    <col min="7685" max="7685" width="24.7142857142857" customWidth="1"/>
    <col min="7686" max="7686" width="25.7142857142857" customWidth="1"/>
    <col min="7687" max="7692" width="10.2857142857143" hidden="1" customWidth="1"/>
    <col min="7937" max="7937" width="10.7142857142857" customWidth="1"/>
    <col min="7938" max="7940" width="30.7142857142857" customWidth="1"/>
    <col min="7941" max="7941" width="24.7142857142857" customWidth="1"/>
    <col min="7942" max="7942" width="25.7142857142857" customWidth="1"/>
    <col min="7943" max="7948" width="10.2857142857143" hidden="1" customWidth="1"/>
    <col min="8193" max="8193" width="10.7142857142857" customWidth="1"/>
    <col min="8194" max="8196" width="30.7142857142857" customWidth="1"/>
    <col min="8197" max="8197" width="24.7142857142857" customWidth="1"/>
    <col min="8198" max="8198" width="25.7142857142857" customWidth="1"/>
    <col min="8199" max="8204" width="10.2857142857143" hidden="1" customWidth="1"/>
    <col min="8449" max="8449" width="10.7142857142857" customWidth="1"/>
    <col min="8450" max="8452" width="30.7142857142857" customWidth="1"/>
    <col min="8453" max="8453" width="24.7142857142857" customWidth="1"/>
    <col min="8454" max="8454" width="25.7142857142857" customWidth="1"/>
    <col min="8455" max="8460" width="10.2857142857143" hidden="1" customWidth="1"/>
    <col min="8705" max="8705" width="10.7142857142857" customWidth="1"/>
    <col min="8706" max="8708" width="30.7142857142857" customWidth="1"/>
    <col min="8709" max="8709" width="24.7142857142857" customWidth="1"/>
    <col min="8710" max="8710" width="25.7142857142857" customWidth="1"/>
    <col min="8711" max="8716" width="10.2857142857143" hidden="1" customWidth="1"/>
    <col min="8961" max="8961" width="10.7142857142857" customWidth="1"/>
    <col min="8962" max="8964" width="30.7142857142857" customWidth="1"/>
    <col min="8965" max="8965" width="24.7142857142857" customWidth="1"/>
    <col min="8966" max="8966" width="25.7142857142857" customWidth="1"/>
    <col min="8967" max="8972" width="10.2857142857143" hidden="1" customWidth="1"/>
    <col min="9217" max="9217" width="10.7142857142857" customWidth="1"/>
    <col min="9218" max="9220" width="30.7142857142857" customWidth="1"/>
    <col min="9221" max="9221" width="24.7142857142857" customWidth="1"/>
    <col min="9222" max="9222" width="25.7142857142857" customWidth="1"/>
    <col min="9223" max="9228" width="10.2857142857143" hidden="1" customWidth="1"/>
    <col min="9473" max="9473" width="10.7142857142857" customWidth="1"/>
    <col min="9474" max="9476" width="30.7142857142857" customWidth="1"/>
    <col min="9477" max="9477" width="24.7142857142857" customWidth="1"/>
    <col min="9478" max="9478" width="25.7142857142857" customWidth="1"/>
    <col min="9479" max="9484" width="10.2857142857143" hidden="1" customWidth="1"/>
    <col min="9729" max="9729" width="10.7142857142857" customWidth="1"/>
    <col min="9730" max="9732" width="30.7142857142857" customWidth="1"/>
    <col min="9733" max="9733" width="24.7142857142857" customWidth="1"/>
    <col min="9734" max="9734" width="25.7142857142857" customWidth="1"/>
    <col min="9735" max="9740" width="10.2857142857143" hidden="1" customWidth="1"/>
    <col min="9985" max="9985" width="10.7142857142857" customWidth="1"/>
    <col min="9986" max="9988" width="30.7142857142857" customWidth="1"/>
    <col min="9989" max="9989" width="24.7142857142857" customWidth="1"/>
    <col min="9990" max="9990" width="25.7142857142857" customWidth="1"/>
    <col min="9991" max="9996" width="10.2857142857143" hidden="1" customWidth="1"/>
    <col min="10241" max="10241" width="10.7142857142857" customWidth="1"/>
    <col min="10242" max="10244" width="30.7142857142857" customWidth="1"/>
    <col min="10245" max="10245" width="24.7142857142857" customWidth="1"/>
    <col min="10246" max="10246" width="25.7142857142857" customWidth="1"/>
    <col min="10247" max="10252" width="10.2857142857143" hidden="1" customWidth="1"/>
    <col min="10497" max="10497" width="10.7142857142857" customWidth="1"/>
    <col min="10498" max="10500" width="30.7142857142857" customWidth="1"/>
    <col min="10501" max="10501" width="24.7142857142857" customWidth="1"/>
    <col min="10502" max="10502" width="25.7142857142857" customWidth="1"/>
    <col min="10503" max="10508" width="10.2857142857143" hidden="1" customWidth="1"/>
    <col min="10753" max="10753" width="10.7142857142857" customWidth="1"/>
    <col min="10754" max="10756" width="30.7142857142857" customWidth="1"/>
    <col min="10757" max="10757" width="24.7142857142857" customWidth="1"/>
    <col min="10758" max="10758" width="25.7142857142857" customWidth="1"/>
    <col min="10759" max="10764" width="10.2857142857143" hidden="1" customWidth="1"/>
    <col min="11009" max="11009" width="10.7142857142857" customWidth="1"/>
    <col min="11010" max="11012" width="30.7142857142857" customWidth="1"/>
    <col min="11013" max="11013" width="24.7142857142857" customWidth="1"/>
    <col min="11014" max="11014" width="25.7142857142857" customWidth="1"/>
    <col min="11015" max="11020" width="10.2857142857143" hidden="1" customWidth="1"/>
    <col min="11265" max="11265" width="10.7142857142857" customWidth="1"/>
    <col min="11266" max="11268" width="30.7142857142857" customWidth="1"/>
    <col min="11269" max="11269" width="24.7142857142857" customWidth="1"/>
    <col min="11270" max="11270" width="25.7142857142857" customWidth="1"/>
    <col min="11271" max="11276" width="10.2857142857143" hidden="1" customWidth="1"/>
    <col min="11521" max="11521" width="10.7142857142857" customWidth="1"/>
    <col min="11522" max="11524" width="30.7142857142857" customWidth="1"/>
    <col min="11525" max="11525" width="24.7142857142857" customWidth="1"/>
    <col min="11526" max="11526" width="25.7142857142857" customWidth="1"/>
    <col min="11527" max="11532" width="10.2857142857143" hidden="1" customWidth="1"/>
    <col min="11777" max="11777" width="10.7142857142857" customWidth="1"/>
    <col min="11778" max="11780" width="30.7142857142857" customWidth="1"/>
    <col min="11781" max="11781" width="24.7142857142857" customWidth="1"/>
    <col min="11782" max="11782" width="25.7142857142857" customWidth="1"/>
    <col min="11783" max="11788" width="10.2857142857143" hidden="1" customWidth="1"/>
    <col min="12033" max="12033" width="10.7142857142857" customWidth="1"/>
    <col min="12034" max="12036" width="30.7142857142857" customWidth="1"/>
    <col min="12037" max="12037" width="24.7142857142857" customWidth="1"/>
    <col min="12038" max="12038" width="25.7142857142857" customWidth="1"/>
    <col min="12039" max="12044" width="10.2857142857143" hidden="1" customWidth="1"/>
    <col min="12289" max="12289" width="10.7142857142857" customWidth="1"/>
    <col min="12290" max="12292" width="30.7142857142857" customWidth="1"/>
    <col min="12293" max="12293" width="24.7142857142857" customWidth="1"/>
    <col min="12294" max="12294" width="25.7142857142857" customWidth="1"/>
    <col min="12295" max="12300" width="10.2857142857143" hidden="1" customWidth="1"/>
    <col min="12545" max="12545" width="10.7142857142857" customWidth="1"/>
    <col min="12546" max="12548" width="30.7142857142857" customWidth="1"/>
    <col min="12549" max="12549" width="24.7142857142857" customWidth="1"/>
    <col min="12550" max="12550" width="25.7142857142857" customWidth="1"/>
    <col min="12551" max="12556" width="10.2857142857143" hidden="1" customWidth="1"/>
    <col min="12801" max="12801" width="10.7142857142857" customWidth="1"/>
    <col min="12802" max="12804" width="30.7142857142857" customWidth="1"/>
    <col min="12805" max="12805" width="24.7142857142857" customWidth="1"/>
    <col min="12806" max="12806" width="25.7142857142857" customWidth="1"/>
    <col min="12807" max="12812" width="10.2857142857143" hidden="1" customWidth="1"/>
    <col min="13057" max="13057" width="10.7142857142857" customWidth="1"/>
    <col min="13058" max="13060" width="30.7142857142857" customWidth="1"/>
    <col min="13061" max="13061" width="24.7142857142857" customWidth="1"/>
    <col min="13062" max="13062" width="25.7142857142857" customWidth="1"/>
    <col min="13063" max="13068" width="10.2857142857143" hidden="1" customWidth="1"/>
    <col min="13313" max="13313" width="10.7142857142857" customWidth="1"/>
    <col min="13314" max="13316" width="30.7142857142857" customWidth="1"/>
    <col min="13317" max="13317" width="24.7142857142857" customWidth="1"/>
    <col min="13318" max="13318" width="25.7142857142857" customWidth="1"/>
    <col min="13319" max="13324" width="10.2857142857143" hidden="1" customWidth="1"/>
    <col min="13569" max="13569" width="10.7142857142857" customWidth="1"/>
    <col min="13570" max="13572" width="30.7142857142857" customWidth="1"/>
    <col min="13573" max="13573" width="24.7142857142857" customWidth="1"/>
    <col min="13574" max="13574" width="25.7142857142857" customWidth="1"/>
    <col min="13575" max="13580" width="10.2857142857143" hidden="1" customWidth="1"/>
    <col min="13825" max="13825" width="10.7142857142857" customWidth="1"/>
    <col min="13826" max="13828" width="30.7142857142857" customWidth="1"/>
    <col min="13829" max="13829" width="24.7142857142857" customWidth="1"/>
    <col min="13830" max="13830" width="25.7142857142857" customWidth="1"/>
    <col min="13831" max="13836" width="10.2857142857143" hidden="1" customWidth="1"/>
    <col min="14081" max="14081" width="10.7142857142857" customWidth="1"/>
    <col min="14082" max="14084" width="30.7142857142857" customWidth="1"/>
    <col min="14085" max="14085" width="24.7142857142857" customWidth="1"/>
    <col min="14086" max="14086" width="25.7142857142857" customWidth="1"/>
    <col min="14087" max="14092" width="10.2857142857143" hidden="1" customWidth="1"/>
    <col min="14337" max="14337" width="10.7142857142857" customWidth="1"/>
    <col min="14338" max="14340" width="30.7142857142857" customWidth="1"/>
    <col min="14341" max="14341" width="24.7142857142857" customWidth="1"/>
    <col min="14342" max="14342" width="25.7142857142857" customWidth="1"/>
    <col min="14343" max="14348" width="10.2857142857143" hidden="1" customWidth="1"/>
    <col min="14593" max="14593" width="10.7142857142857" customWidth="1"/>
    <col min="14594" max="14596" width="30.7142857142857" customWidth="1"/>
    <col min="14597" max="14597" width="24.7142857142857" customWidth="1"/>
    <col min="14598" max="14598" width="25.7142857142857" customWidth="1"/>
    <col min="14599" max="14604" width="10.2857142857143" hidden="1" customWidth="1"/>
    <col min="14849" max="14849" width="10.7142857142857" customWidth="1"/>
    <col min="14850" max="14852" width="30.7142857142857" customWidth="1"/>
    <col min="14853" max="14853" width="24.7142857142857" customWidth="1"/>
    <col min="14854" max="14854" width="25.7142857142857" customWidth="1"/>
    <col min="14855" max="14860" width="10.2857142857143" hidden="1" customWidth="1"/>
    <col min="15105" max="15105" width="10.7142857142857" customWidth="1"/>
    <col min="15106" max="15108" width="30.7142857142857" customWidth="1"/>
    <col min="15109" max="15109" width="24.7142857142857" customWidth="1"/>
    <col min="15110" max="15110" width="25.7142857142857" customWidth="1"/>
    <col min="15111" max="15116" width="10.2857142857143" hidden="1" customWidth="1"/>
    <col min="15361" max="15361" width="10.7142857142857" customWidth="1"/>
    <col min="15362" max="15364" width="30.7142857142857" customWidth="1"/>
    <col min="15365" max="15365" width="24.7142857142857" customWidth="1"/>
    <col min="15366" max="15366" width="25.7142857142857" customWidth="1"/>
    <col min="15367" max="15372" width="10.2857142857143" hidden="1" customWidth="1"/>
    <col min="15617" max="15617" width="10.7142857142857" customWidth="1"/>
    <col min="15618" max="15620" width="30.7142857142857" customWidth="1"/>
    <col min="15621" max="15621" width="24.7142857142857" customWidth="1"/>
    <col min="15622" max="15622" width="25.7142857142857" customWidth="1"/>
    <col min="15623" max="15628" width="10.2857142857143" hidden="1" customWidth="1"/>
    <col min="15873" max="15873" width="10.7142857142857" customWidth="1"/>
    <col min="15874" max="15876" width="30.7142857142857" customWidth="1"/>
    <col min="15877" max="15877" width="24.7142857142857" customWidth="1"/>
    <col min="15878" max="15878" width="25.7142857142857" customWidth="1"/>
    <col min="15879" max="15884" width="10.2857142857143" hidden="1" customWidth="1"/>
    <col min="16129" max="16129" width="10.7142857142857" customWidth="1"/>
    <col min="16130" max="16132" width="30.7142857142857" customWidth="1"/>
    <col min="16133" max="16133" width="24.7142857142857" customWidth="1"/>
    <col min="16134" max="16134" width="25.7142857142857" customWidth="1"/>
    <col min="16135" max="16140" width="10.2857142857143" hidden="1" customWidth="1"/>
  </cols>
  <sheetData>
    <row r="1" s="1" customFormat="1" ht="21.75" customHeight="1" spans="1:11">
      <c r="A1" s="7" t="s">
        <v>161</v>
      </c>
      <c r="B1" s="7"/>
      <c r="C1" s="7"/>
      <c r="D1" s="7"/>
      <c r="E1" s="7"/>
      <c r="F1" s="7"/>
    </row>
    <row r="2" s="2" customFormat="1" ht="25.5" customHeight="1" spans="1:11">
      <c r="A2" s="8" t="s">
        <v>162</v>
      </c>
      <c r="B2" s="9"/>
      <c r="C2" s="9"/>
      <c r="D2" s="9"/>
      <c r="E2" s="9"/>
      <c r="F2" s="9"/>
      <c r="G2" s="9"/>
      <c r="H2" s="9"/>
      <c r="I2" s="10"/>
      <c r="J2" s="11"/>
      <c r="K2" s="12" t="s">
        <v>163</v>
      </c>
    </row>
    <row r="3" s="1" customFormat="1" ht="56.25" hidden="1" customHeight="1" spans="1:11">
      <c r="A3" s="13"/>
      <c r="B3" s="14" t="s">
        <v>164</v>
      </c>
      <c r="C3" s="15">
        <v>439</v>
      </c>
      <c r="D3" s="16">
        <v>173</v>
      </c>
      <c r="E3" s="14"/>
      <c r="F3" s="17"/>
      <c r="G3" s="18"/>
    </row>
    <row r="4" s="1" customFormat="1" ht="56.25" hidden="1" customHeight="1" spans="1:11">
      <c r="A4" s="19"/>
      <c r="B4" s="20" t="s">
        <v>165</v>
      </c>
      <c r="C4" s="21">
        <v>18</v>
      </c>
      <c r="D4" s="22">
        <v>23</v>
      </c>
      <c r="E4" s="20"/>
      <c r="F4" s="23"/>
      <c r="G4" s="18"/>
    </row>
    <row r="5" s="1" customFormat="1" ht="56.25" hidden="1" customHeight="1" spans="1:11">
      <c r="A5" s="24"/>
      <c r="B5" s="25" t="s">
        <v>166</v>
      </c>
      <c r="C5" s="26">
        <f>C8/(C3*C4)*10000</f>
        <v>6265</v>
      </c>
      <c r="D5" s="26">
        <f>D8/(1525.6+403.7+692.6)*10000</f>
        <v>97245</v>
      </c>
      <c r="E5" s="25"/>
      <c r="F5" s="27"/>
      <c r="G5" s="18"/>
    </row>
    <row r="6" s="1" customFormat="1" ht="56.25" customHeight="1" spans="1:11">
      <c r="A6" s="28" t="s">
        <v>123</v>
      </c>
      <c r="B6" s="28" t="s">
        <v>167</v>
      </c>
      <c r="C6" s="29" t="s">
        <v>168</v>
      </c>
      <c r="D6" s="29" t="s">
        <v>169</v>
      </c>
      <c r="E6" s="30" t="s">
        <v>170</v>
      </c>
      <c r="F6" s="28" t="s">
        <v>171</v>
      </c>
      <c r="G6" s="31"/>
      <c r="H6" s="22"/>
      <c r="I6" s="22"/>
      <c r="J6" s="22"/>
      <c r="K6" s="22"/>
    </row>
    <row r="7" s="1" customFormat="1" ht="25.5" hidden="1" customHeight="1" spans="1:11">
      <c r="A7" s="28"/>
      <c r="B7" s="28" t="s">
        <v>172</v>
      </c>
      <c r="C7" s="32">
        <f>C8/(7448+4212)</f>
        <v>0.4246</v>
      </c>
      <c r="D7" s="32">
        <f>D8/(2608+858)</f>
        <v>7.3562</v>
      </c>
      <c r="E7" s="33"/>
      <c r="F7" s="28"/>
    </row>
    <row r="8" s="3" customFormat="1" ht="40.15" customHeight="1" spans="1:11">
      <c r="A8" s="34" t="s">
        <v>14</v>
      </c>
      <c r="B8" s="35" t="s">
        <v>173</v>
      </c>
      <c r="C8" s="36">
        <f>概算表!F6</f>
        <v>4950.98</v>
      </c>
      <c r="D8" s="36">
        <v>25496.67</v>
      </c>
      <c r="E8" s="36">
        <f t="shared" ref="E8:E13" si="0">C8-D8</f>
        <v>-20545.69</v>
      </c>
      <c r="F8" s="37" t="s">
        <v>174</v>
      </c>
      <c r="G8" s="38"/>
      <c r="H8" s="38"/>
      <c r="I8" s="1"/>
      <c r="J8" s="39"/>
      <c r="K8" s="1"/>
    </row>
    <row r="9" s="4" customFormat="1" ht="40.15" customHeight="1" spans="1:11">
      <c r="A9" s="40" t="s">
        <v>82</v>
      </c>
      <c r="B9" s="41" t="s">
        <v>175</v>
      </c>
      <c r="C9" s="36">
        <f ca="1">概算表!F54</f>
        <v>399.17</v>
      </c>
      <c r="D9" s="36">
        <v>10440.09</v>
      </c>
      <c r="E9" s="36">
        <f ca="1" t="shared" si="0"/>
        <v>-10040.92</v>
      </c>
      <c r="F9" s="42" t="s">
        <v>176</v>
      </c>
    </row>
    <row r="10" s="4" customFormat="1" ht="40.15" customHeight="1" spans="1:11">
      <c r="A10" s="43" t="s">
        <v>116</v>
      </c>
      <c r="B10" s="44" t="s">
        <v>117</v>
      </c>
      <c r="C10" s="45">
        <f ca="1">概算表!F71</f>
        <v>160.5</v>
      </c>
      <c r="D10" s="36">
        <v>1796.84</v>
      </c>
      <c r="E10" s="36">
        <f ca="1" t="shared" si="0"/>
        <v>-1636.34</v>
      </c>
      <c r="F10" s="42" t="s">
        <v>177</v>
      </c>
      <c r="G10" s="46"/>
    </row>
    <row r="11" s="4" customFormat="1" ht="40.15" customHeight="1" spans="1:11">
      <c r="A11" s="43" t="s">
        <v>119</v>
      </c>
      <c r="B11" s="44" t="s">
        <v>178</v>
      </c>
      <c r="C11" s="45" t="e">
        <f>概算表!#REF!</f>
        <v>#REF!</v>
      </c>
      <c r="D11" s="36">
        <v>37733.6</v>
      </c>
      <c r="E11" s="36" t="e">
        <f t="shared" si="0"/>
        <v>#REF!</v>
      </c>
      <c r="F11" s="42" t="s">
        <v>179</v>
      </c>
      <c r="G11" s="46"/>
    </row>
    <row r="12" s="4" customFormat="1" ht="40.15" customHeight="1" spans="1:11">
      <c r="A12" s="43" t="s">
        <v>180</v>
      </c>
      <c r="B12" s="44" t="s">
        <v>181</v>
      </c>
      <c r="C12" s="45" t="e">
        <f>概算表!#REF!</f>
        <v>#REF!</v>
      </c>
      <c r="D12" s="36">
        <v>1310.12</v>
      </c>
      <c r="E12" s="36" t="e">
        <f t="shared" si="0"/>
        <v>#REF!</v>
      </c>
      <c r="F12" s="42" t="s">
        <v>182</v>
      </c>
      <c r="G12" s="46"/>
    </row>
    <row r="13" s="4" customFormat="1" ht="40.15" customHeight="1" spans="1:11">
      <c r="A13" s="47" t="s">
        <v>183</v>
      </c>
      <c r="B13" s="44" t="s">
        <v>184</v>
      </c>
      <c r="C13" s="45">
        <f ca="1">概算表!F72</f>
        <v>5510.65</v>
      </c>
      <c r="D13" s="36">
        <v>39043.72</v>
      </c>
      <c r="E13" s="36">
        <f ca="1" t="shared" si="0"/>
        <v>-33533.07</v>
      </c>
      <c r="F13" s="42" t="s">
        <v>185</v>
      </c>
      <c r="G13" s="46"/>
    </row>
    <row r="14" s="4" customFormat="1" ht="40.15" customHeight="1" spans="1:11">
      <c r="A14" s="47"/>
      <c r="B14" s="44"/>
      <c r="C14" s="43"/>
      <c r="D14" s="43"/>
      <c r="E14" s="48"/>
      <c r="F14" s="41"/>
      <c r="G14" s="46"/>
    </row>
    <row r="15" s="4" customFormat="1" ht="40.15" customHeight="1" spans="1:11">
      <c r="A15" s="47"/>
      <c r="B15" s="44"/>
      <c r="C15" s="43"/>
      <c r="D15" s="43"/>
      <c r="E15" s="48"/>
      <c r="F15" s="41"/>
      <c r="G15" s="46"/>
    </row>
    <row r="16" s="4" customFormat="1" ht="40.15" customHeight="1" spans="1:11">
      <c r="A16" s="47"/>
      <c r="B16" s="44"/>
      <c r="C16" s="43"/>
      <c r="D16" s="43"/>
      <c r="E16" s="48"/>
      <c r="F16" s="41"/>
      <c r="G16" s="46"/>
    </row>
    <row r="17" s="4" customFormat="1" ht="40.15" customHeight="1" spans="1:7">
      <c r="A17" s="47"/>
      <c r="B17" s="44"/>
      <c r="C17" s="43"/>
      <c r="D17" s="43"/>
      <c r="E17" s="48"/>
      <c r="F17" s="49"/>
      <c r="G17" s="46"/>
    </row>
    <row r="18" ht="29.25" hidden="1" customHeight="1" spans="1:7">
      <c r="A18" s="50" t="s">
        <v>186</v>
      </c>
      <c r="B18" s="50"/>
      <c r="C18" s="50"/>
      <c r="D18" s="50"/>
      <c r="E18" s="50"/>
      <c r="F18" s="50"/>
    </row>
    <row r="19" customHeight="1" spans="1:7">
      <c r="D19" s="5"/>
    </row>
    <row r="20" s="5" customFormat="1" customHeight="1"/>
    <row r="21" s="5" customFormat="1" customHeight="1" spans="1:7">
      <c r="E21" s="51"/>
    </row>
    <row r="22" s="5" customFormat="1" customHeight="1" spans="1:7">
      <c r="A22" s="52"/>
      <c r="B22" s="52"/>
      <c r="C22" s="52"/>
      <c r="D22" s="52"/>
      <c r="E22" s="52"/>
    </row>
    <row r="23" s="5" customFormat="1" customHeight="1" spans="1:7">
      <c r="A23" s="52"/>
      <c r="B23" s="52"/>
      <c r="C23" s="52"/>
      <c r="D23" s="52"/>
      <c r="E23" s="52"/>
    </row>
    <row r="24" s="5" customFormat="1" customHeight="1" spans="1:7">
      <c r="A24" s="52"/>
      <c r="B24" s="52"/>
      <c r="C24" s="52"/>
      <c r="D24" s="52"/>
      <c r="E24" s="52"/>
    </row>
    <row r="25" s="5" customFormat="1" customHeight="1" spans="1:7">
      <c r="A25" s="52"/>
      <c r="B25" s="52"/>
      <c r="C25" s="52"/>
      <c r="D25" s="52"/>
      <c r="E25" s="52"/>
    </row>
    <row r="26" s="5" customFormat="1" customHeight="1" spans="1:7">
      <c r="A26" s="52"/>
      <c r="B26" s="52"/>
      <c r="C26" s="52"/>
      <c r="D26" s="52"/>
      <c r="E26" s="52"/>
    </row>
    <row r="27" s="5" customFormat="1" customHeight="1" spans="1:7">
      <c r="A27" s="52"/>
      <c r="B27" s="52"/>
      <c r="C27" s="52"/>
      <c r="D27" s="52"/>
      <c r="E27" s="52"/>
    </row>
    <row r="28" s="5" customFormat="1" customHeight="1" spans="1:7">
      <c r="A28" s="52"/>
      <c r="B28" s="52"/>
      <c r="C28" s="52"/>
      <c r="D28" s="52"/>
      <c r="E28" s="52"/>
    </row>
    <row r="29" s="5" customFormat="1" customHeight="1"/>
    <row r="30" s="5" customFormat="1" customHeight="1"/>
    <row r="31" s="5" customFormat="1" customHeight="1" spans="1:7">
      <c r="A31" s="52"/>
      <c r="B31" s="52"/>
      <c r="C31" s="52"/>
      <c r="D31" s="52"/>
      <c r="E31" s="52"/>
    </row>
    <row r="32" s="5" customFormat="1" customHeight="1" spans="1:7">
      <c r="A32" s="52"/>
      <c r="B32" s="52"/>
      <c r="C32" s="52"/>
      <c r="D32" s="52"/>
      <c r="E32" s="52"/>
    </row>
    <row r="33" s="5" customFormat="1" customHeight="1" spans="1:5">
      <c r="A33" s="52"/>
      <c r="B33" s="52"/>
      <c r="C33" s="52"/>
      <c r="D33" s="52"/>
      <c r="E33" s="52"/>
    </row>
    <row r="34" s="5" customFormat="1" customHeight="1" spans="1:5">
      <c r="A34" s="52"/>
      <c r="B34" s="52"/>
      <c r="C34" s="52"/>
      <c r="D34" s="52"/>
      <c r="E34" s="52"/>
    </row>
    <row r="35" s="5" customFormat="1" customHeight="1" spans="1:5">
      <c r="A35" s="52"/>
      <c r="B35" s="52"/>
      <c r="C35" s="52"/>
      <c r="D35" s="52"/>
      <c r="E35" s="52"/>
    </row>
    <row r="36" s="5" customFormat="1" customHeight="1" spans="1:5">
      <c r="A36" s="52"/>
      <c r="B36" s="52"/>
      <c r="C36" s="52"/>
      <c r="D36" s="52"/>
      <c r="E36" s="52"/>
    </row>
    <row r="37" s="5" customFormat="1" customHeight="1" spans="1:5">
      <c r="A37" s="52"/>
      <c r="B37" s="52"/>
      <c r="C37" s="52"/>
      <c r="D37" s="52"/>
      <c r="E37" s="52"/>
    </row>
    <row r="38" s="5" customFormat="1" customHeight="1" spans="1:5">
      <c r="A38" s="52"/>
      <c r="B38" s="52"/>
      <c r="C38" s="52"/>
      <c r="D38" s="52"/>
      <c r="E38" s="52"/>
    </row>
    <row r="39" s="5" customFormat="1" customHeight="1" spans="1:5">
      <c r="A39" s="52"/>
      <c r="B39" s="52"/>
      <c r="C39" s="52"/>
      <c r="D39" s="52"/>
      <c r="E39" s="52"/>
    </row>
    <row r="40" s="5" customFormat="1" customHeight="1" spans="1:5">
      <c r="A40" s="52"/>
      <c r="B40" s="52"/>
      <c r="C40" s="52"/>
      <c r="D40" s="52"/>
      <c r="E40" s="52"/>
    </row>
    <row r="41" s="5" customFormat="1" customHeight="1" spans="1:5">
      <c r="A41" s="52"/>
      <c r="B41" s="52"/>
      <c r="C41" s="52"/>
      <c r="D41" s="52"/>
      <c r="E41" s="52"/>
    </row>
    <row r="42" s="5" customFormat="1" customHeight="1" spans="1:5">
      <c r="A42" s="52"/>
      <c r="B42" s="52"/>
      <c r="C42" s="52"/>
      <c r="D42" s="52"/>
      <c r="E42" s="52"/>
    </row>
    <row r="43" s="5" customFormat="1" customHeight="1" spans="1:5">
      <c r="A43" s="52"/>
      <c r="B43" s="52"/>
      <c r="C43" s="52"/>
      <c r="D43" s="52"/>
      <c r="E43" s="52"/>
    </row>
    <row r="44" s="5" customFormat="1" customHeight="1" spans="1:5">
      <c r="A44" s="52"/>
      <c r="B44" s="52"/>
      <c r="C44" s="52"/>
      <c r="D44" s="52"/>
      <c r="E44" s="52"/>
    </row>
    <row r="45" s="5" customFormat="1" customHeight="1" spans="1:5">
      <c r="A45" s="52"/>
      <c r="B45" s="52"/>
      <c r="C45" s="52"/>
      <c r="D45" s="52"/>
      <c r="E45" s="52"/>
    </row>
    <row r="46" s="5" customFormat="1" customHeight="1" spans="1:5">
      <c r="A46" s="52"/>
      <c r="B46" s="52"/>
      <c r="C46" s="52"/>
      <c r="D46" s="52"/>
      <c r="E46" s="52"/>
    </row>
    <row r="47" s="5" customFormat="1" customHeight="1" spans="1:5">
      <c r="A47" s="52"/>
      <c r="B47" s="52"/>
      <c r="C47" s="52"/>
      <c r="D47" s="52"/>
      <c r="E47" s="52"/>
    </row>
    <row r="48" s="5" customFormat="1" customHeight="1" spans="1:5">
      <c r="A48" s="52"/>
      <c r="B48" s="52"/>
      <c r="C48" s="52"/>
      <c r="D48" s="52"/>
      <c r="E48" s="52"/>
    </row>
    <row r="49" s="5" customFormat="1" customHeight="1" spans="1:5">
      <c r="A49" s="52"/>
      <c r="B49" s="52"/>
      <c r="C49" s="52"/>
      <c r="D49" s="52"/>
      <c r="E49" s="52"/>
    </row>
    <row r="50" s="5" customFormat="1" customHeight="1"/>
    <row r="51" s="5" customFormat="1" customHeight="1"/>
    <row r="52" s="5" customFormat="1" customHeight="1"/>
    <row r="53" s="5" customFormat="1" customHeight="1"/>
    <row r="54" s="5" customFormat="1" customHeight="1"/>
    <row r="55" s="5" customFormat="1" customHeight="1"/>
    <row r="56" s="5" customFormat="1" customHeight="1"/>
    <row r="57" s="5" customFormat="1" customHeight="1"/>
    <row r="58" s="5" customFormat="1" customHeight="1"/>
    <row r="59" s="5" customFormat="1" customHeight="1"/>
    <row r="60" s="5" customFormat="1" customHeight="1"/>
    <row r="61" s="5" customFormat="1" customHeight="1"/>
    <row r="62" s="5" customFormat="1" customHeight="1"/>
    <row r="63" s="5" customFormat="1" customHeight="1"/>
    <row r="64" s="5" customFormat="1" customHeight="1"/>
  </sheetData>
  <mergeCells count="6">
    <mergeCell ref="A1:F1"/>
    <mergeCell ref="C14:D14"/>
    <mergeCell ref="C15:D15"/>
    <mergeCell ref="C16:D16"/>
    <mergeCell ref="C17:D17"/>
    <mergeCell ref="A18:F18"/>
  </mergeCells>
  <printOptions horizontalCentered="1"/>
  <pageMargins left="0.16" right="0.12" top="0.94" bottom="0.47" header="0.24" footer="0.31"/>
  <pageSetup paperSize="9" scale="85"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概算表</vt:lpstr>
      <vt:lpstr>对比表</vt:lpstr>
      <vt:lpstr>细项</vt:lpstr>
      <vt:lpstr>建安费对比表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谢莹</dc:creator>
  <cp:lastModifiedBy>刹华</cp:lastModifiedBy>
  <dcterms:created xsi:type="dcterms:W3CDTF">2014-09-20T04:18:00Z</dcterms:created>
  <cp:lastPrinted>2026-03-24T03:03:00Z</cp:lastPrinted>
  <dcterms:modified xsi:type="dcterms:W3CDTF">2026-06-01T06:22:43Z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37BB00AE857A49949EDF88A121D9F055_13</vt:lpwstr>
  </property>
  <property fmtid="{D5CDD505-2E9C-101B-9397-08002B2CF9AE}" pid="4" name="CalculationRule">
    <vt:i4>0</vt:i4>
  </property>
</Properties>
</file>