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30" windowHeight="12375" firstSheet="2" activeTab="2"/>
  </bookViews>
  <sheets>
    <sheet name="二类费用计算表" sheetId="3" state="hidden" r:id="rId1"/>
    <sheet name="投资估算表修编（底稿）" sheetId="4" state="hidden" r:id="rId2"/>
    <sheet name="投资估算表修编" sheetId="6" r:id="rId3"/>
  </sheets>
  <definedNames>
    <definedName name="_xlnm.Print_Area" localSheetId="2">投资估算表修编!$A$1:$N$37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<sst xmlns="http://schemas.openxmlformats.org/spreadsheetml/2006/main" count="451" uniqueCount="263">
  <si>
    <t>工程建设其他费用计算表（万元）</t>
  </si>
  <si>
    <t>序号</t>
  </si>
  <si>
    <t>名称</t>
  </si>
  <si>
    <t>依据</t>
  </si>
  <si>
    <t>金额</t>
  </si>
  <si>
    <t>计算式</t>
  </si>
  <si>
    <t>合计</t>
  </si>
  <si>
    <t>工程建设其他费用</t>
  </si>
  <si>
    <t>耕地</t>
  </si>
  <si>
    <t>园地</t>
  </si>
  <si>
    <t>林地</t>
  </si>
  <si>
    <t>其他农用地</t>
  </si>
  <si>
    <t>建设用地</t>
  </si>
  <si>
    <t>未利用地</t>
  </si>
  <si>
    <t>建设用地费</t>
  </si>
  <si>
    <t>单位</t>
  </si>
  <si>
    <t>数量</t>
  </si>
  <si>
    <t>单价（元）</t>
  </si>
  <si>
    <t>系数</t>
  </si>
  <si>
    <t>土地征用费</t>
  </si>
  <si>
    <t>1.1.1</t>
  </si>
  <si>
    <t>永久征地</t>
  </si>
  <si>
    <t>亩</t>
  </si>
  <si>
    <t>156.16*20</t>
  </si>
  <si>
    <t>1.2.2</t>
  </si>
  <si>
    <t>施工过程临时征地</t>
  </si>
  <si>
    <t>6*0.3</t>
  </si>
  <si>
    <t>小计</t>
  </si>
  <si>
    <t>拆迁安置补偿费</t>
  </si>
  <si>
    <t>综合地价</t>
  </si>
  <si>
    <t>1.3.1</t>
  </si>
  <si>
    <t>砼房</t>
  </si>
  <si>
    <t xml:space="preserve">m2 </t>
  </si>
  <si>
    <t>5637*1.3</t>
  </si>
  <si>
    <t>青苗补偿</t>
  </si>
  <si>
    <t>1.3.2</t>
  </si>
  <si>
    <t>钢房</t>
  </si>
  <si>
    <t>1.3.3</t>
  </si>
  <si>
    <t>简易房</t>
  </si>
  <si>
    <t>893*0.85</t>
  </si>
  <si>
    <t>1.3.4</t>
  </si>
  <si>
    <t>高压电力杆</t>
  </si>
  <si>
    <t>根</t>
  </si>
  <si>
    <t>4*8</t>
  </si>
  <si>
    <t>1.3.5</t>
  </si>
  <si>
    <t>变压器</t>
  </si>
  <si>
    <t>座</t>
  </si>
  <si>
    <t>1*3</t>
  </si>
  <si>
    <t>房屋重置价格</t>
  </si>
  <si>
    <t>二次装修补偿单价</t>
  </si>
  <si>
    <t>栋房层数调整系数</t>
  </si>
  <si>
    <t>层高补助</t>
  </si>
  <si>
    <t>临时安置费及过渡期限</t>
  </si>
  <si>
    <t>奖励</t>
  </si>
  <si>
    <t>拆迁单价</t>
  </si>
  <si>
    <t>拆迁合计</t>
  </si>
  <si>
    <t>1.3.6</t>
  </si>
  <si>
    <t>电讯杆</t>
  </si>
  <si>
    <t>1.3.7</t>
  </si>
  <si>
    <t>普通电力杆</t>
  </si>
  <si>
    <t>3*2</t>
  </si>
  <si>
    <t>1.3.8</t>
  </si>
  <si>
    <t>电缆</t>
  </si>
  <si>
    <t>m</t>
  </si>
  <si>
    <t>960*150/10000</t>
  </si>
  <si>
    <t>砖混房</t>
  </si>
  <si>
    <t>1.3.9</t>
  </si>
  <si>
    <t>路灯</t>
  </si>
  <si>
    <t>41*0.2</t>
  </si>
  <si>
    <t>1.3.10</t>
  </si>
  <si>
    <t>盖板涵</t>
  </si>
  <si>
    <t>土房</t>
  </si>
  <si>
    <t>建设单位管理费</t>
  </si>
  <si>
    <t>财建[2016]504号</t>
  </si>
  <si>
    <t>140+(工程费用-10000)*1%</t>
  </si>
  <si>
    <t>建设工程监理费</t>
  </si>
  <si>
    <t>发改价格[价2007]670号</t>
  </si>
  <si>
    <t>(工程费用-20000)*(708.2-393.4)/20000+393.4</t>
  </si>
  <si>
    <t>工程造价咨询服务费</t>
  </si>
  <si>
    <t>闽价[2002]房457号</t>
  </si>
  <si>
    <t>工程费用*(0.32%*2+0.11%)</t>
  </si>
  <si>
    <t>建设项目前期工作咨询费</t>
  </si>
  <si>
    <t>国家计委计价格[1999]1283号</t>
  </si>
  <si>
    <t>(工程费用-10000)*(136-60)/40000+60</t>
  </si>
  <si>
    <t>工程勘察费</t>
  </si>
  <si>
    <t>第一部分工程费用*1%</t>
  </si>
  <si>
    <t>工程费用*1%</t>
  </si>
  <si>
    <t>工程设计费</t>
  </si>
  <si>
    <t>计价格[2002]10号</t>
  </si>
  <si>
    <t>(工程费用-20000)*(1054-566.8)/20000+566.8</t>
  </si>
  <si>
    <t>环境影响咨询服务费</t>
  </si>
  <si>
    <t>计价格[2002]125号</t>
  </si>
  <si>
    <t>(工程费用-20000)*(51-23.5)/80000+23.5</t>
  </si>
  <si>
    <t>水土保持补偿费</t>
  </si>
  <si>
    <t>闽价费[2017]286</t>
  </si>
  <si>
    <t>(20+156.16+6)*667*1.5/10000</t>
  </si>
  <si>
    <t>http://www.wp.gov.cn/zwgk/zfxxgk/zfxxgkml/14/202203/t20220317_1880932.htm</t>
  </si>
  <si>
    <t>劳动安全卫生评审费</t>
  </si>
  <si>
    <t>第一部分工程费用*0.3%</t>
  </si>
  <si>
    <t>工程费用*0.3%</t>
  </si>
  <si>
    <t>建设场地准备及临时设施费</t>
  </si>
  <si>
    <t>工程保险费</t>
  </si>
  <si>
    <t>第一部分工程费用*0.5%</t>
  </si>
  <si>
    <t>工程费用*0.4%</t>
  </si>
  <si>
    <t>地质灾害危险性评估费</t>
  </si>
  <si>
    <t>发改价格[2006]745号文</t>
  </si>
  <si>
    <t>招标代理服务费</t>
  </si>
  <si>
    <t>国家计委计价格[2002]1980号</t>
  </si>
  <si>
    <t>100*1%+400*0.7%+500*0.55%+4000*0.35%+5000*0.2%+(工程费用-10000)*0.05%</t>
  </si>
  <si>
    <t>施工图审查费</t>
  </si>
  <si>
    <t>闽价服[2012]237号</t>
  </si>
  <si>
    <t>勘测费*0.035+100*0.17%+400*0.14%+500*0.11%+4000*0.08%+5000*0.06%+10000*0.03%+(工程费用-20000)*0.015%</t>
  </si>
  <si>
    <t>防雷装置施工跟踪检查、设计技术评价费</t>
  </si>
  <si>
    <t>闽价(2015)242号文</t>
  </si>
  <si>
    <t>(20+156.16+6)*667*0.67/10000</t>
  </si>
  <si>
    <t>疫情防控专项经费</t>
  </si>
  <si>
    <t>榕建价［2020］3号</t>
  </si>
  <si>
    <t>漳州龙海工程总估算表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</si>
  <si>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</si>
  <si>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工程或费用名称</t>
    </r>
  </si>
  <si>
    <r>
      <rPr>
        <sz val="10"/>
        <rFont val="宋体"/>
        <charset val="134"/>
      </rPr>
      <t>估算金额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</si>
  <si>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技术经济指标</t>
    </r>
  </si>
  <si>
    <r>
      <rPr>
        <sz val="10"/>
        <rFont val="宋体"/>
        <charset val="134"/>
      </rPr>
      <t>各项费用比例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)</t>
    </r>
  </si>
  <si>
    <t>备注</t>
  </si>
  <si>
    <r>
      <rPr>
        <sz val="10"/>
        <rFont val="宋体"/>
        <charset val="134"/>
      </rPr>
      <t>建筑工程</t>
    </r>
  </si>
  <si>
    <r>
      <rPr>
        <sz val="10"/>
        <rFont val="宋体"/>
        <charset val="134"/>
      </rPr>
      <t>安装工程</t>
    </r>
  </si>
  <si>
    <r>
      <rPr>
        <sz val="10"/>
        <rFont val="宋体"/>
        <charset val="134"/>
      </rPr>
      <t>设备购置费</t>
    </r>
  </si>
  <si>
    <r>
      <rPr>
        <sz val="10"/>
        <rFont val="宋体"/>
        <charset val="134"/>
      </rPr>
      <t>其他费用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</si>
  <si>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</si>
  <si>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</si>
  <si>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</si>
  <si>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单位价值（元）</t>
    </r>
  </si>
  <si>
    <t>（一）</t>
  </si>
  <si>
    <t>第一部分 工程费用</t>
  </si>
  <si>
    <t>km</t>
  </si>
  <si>
    <t>求知路</t>
  </si>
  <si>
    <t>一</t>
  </si>
  <si>
    <t>路基工程</t>
  </si>
  <si>
    <t>清表</t>
  </si>
  <si>
    <t>m3</t>
  </si>
  <si>
    <t>路基土石方(填方)</t>
  </si>
  <si>
    <t>路基土石方（挖方）</t>
  </si>
  <si>
    <t>清淤换填（中粗砂）</t>
  </si>
  <si>
    <t>破除旧路</t>
  </si>
  <si>
    <t>m2</t>
  </si>
  <si>
    <t>破除屋前铺装</t>
  </si>
  <si>
    <t>植草护坡(边坡)</t>
  </si>
  <si>
    <t>围堰</t>
  </si>
  <si>
    <t>砂砾垫层</t>
  </si>
  <si>
    <t>土工格栅</t>
  </si>
  <si>
    <t>水泥搅拌桩</t>
  </si>
  <si>
    <t>整平土方及沉降补偿方</t>
  </si>
  <si>
    <t>CFG桩</t>
  </si>
  <si>
    <t>钢筋笼</t>
  </si>
  <si>
    <t>t</t>
  </si>
  <si>
    <t>二</t>
  </si>
  <si>
    <t>路面工程</t>
  </si>
  <si>
    <t>沥青混凝土路面（机动车道）</t>
  </si>
  <si>
    <t>人行道透水砖铺装</t>
  </si>
  <si>
    <t>路缘石（立缘石）</t>
  </si>
  <si>
    <t>路缘石（平缘石）</t>
  </si>
  <si>
    <t>三</t>
  </si>
  <si>
    <t>交通及安全设施</t>
  </si>
  <si>
    <t>交通标线</t>
  </si>
  <si>
    <t>单柱标志牌</t>
  </si>
  <si>
    <t>个</t>
  </si>
  <si>
    <t>悬臂标志牌</t>
  </si>
  <si>
    <t>机动车信号灯</t>
  </si>
  <si>
    <t>套</t>
  </si>
  <si>
    <t>人行信号灯</t>
  </si>
  <si>
    <t>交通监控设备</t>
  </si>
  <si>
    <t>组</t>
  </si>
  <si>
    <t>镀锌管</t>
  </si>
  <si>
    <t>pvc管</t>
  </si>
  <si>
    <t>交叉口人行分隔栏杆</t>
  </si>
  <si>
    <t>四</t>
  </si>
  <si>
    <t>桥涵工程</t>
  </si>
  <si>
    <t>2-3.5x2钢筋砼箱涵</t>
  </si>
  <si>
    <t>2x16装配式预应力混凝土空心板梁</t>
  </si>
  <si>
    <t>五</t>
  </si>
  <si>
    <t>给水工程</t>
  </si>
  <si>
    <t>球墨铸铁管DN150</t>
  </si>
  <si>
    <t>球墨铸铁管DN200</t>
  </si>
  <si>
    <t>六</t>
  </si>
  <si>
    <t>雨水工程</t>
  </si>
  <si>
    <t>DN600II级钢筋混凝土管（H=2.0m）</t>
  </si>
  <si>
    <t>DN600II级钢筋混凝土管（H=2.5m）</t>
  </si>
  <si>
    <t>DN1200III级钢筋混凝土管（H=3.0m）</t>
  </si>
  <si>
    <t>七</t>
  </si>
  <si>
    <t>污水工程</t>
  </si>
  <si>
    <t>DN300球墨铸铁污水管（H=4.5m）</t>
  </si>
  <si>
    <t>DN300球墨铸铁污水管（H=5.0m）</t>
  </si>
  <si>
    <t>DN400球墨铸铁污水管（H=4.5m）</t>
  </si>
  <si>
    <t>钢板桩支护（H=4.5m）</t>
  </si>
  <si>
    <t>钢板桩支护（H=5.0m）</t>
  </si>
  <si>
    <t>八</t>
  </si>
  <si>
    <t>照明工程</t>
  </si>
  <si>
    <t>路灯箱变</t>
  </si>
  <si>
    <t>机动车道灯（LED灯）</t>
  </si>
  <si>
    <t>交叉口中杆灯（LED灯）</t>
  </si>
  <si>
    <t>九</t>
  </si>
  <si>
    <t>电力工程</t>
  </si>
  <si>
    <t>φ150BWFRP管</t>
  </si>
  <si>
    <t>电力直通井</t>
  </si>
  <si>
    <t>电力分支井</t>
  </si>
  <si>
    <t>十</t>
  </si>
  <si>
    <t>通信工程</t>
  </si>
  <si>
    <t>∅100镀锌钢管</t>
  </si>
  <si>
    <t>通信井</t>
  </si>
  <si>
    <t>∅200PVC管</t>
  </si>
  <si>
    <t>十一</t>
  </si>
  <si>
    <t>绿化工程</t>
  </si>
  <si>
    <t>乔木</t>
  </si>
  <si>
    <t>株</t>
  </si>
  <si>
    <t>（二）</t>
  </si>
  <si>
    <t>被征地农民社会保障金</t>
  </si>
  <si>
    <t>1.2.1</t>
  </si>
  <si>
    <t>鹏上村娱乐设施（汇总）</t>
  </si>
  <si>
    <t>榕财建[2016]85号</t>
  </si>
  <si>
    <t>第一部分工程费用*0.4%</t>
  </si>
  <si>
    <t>软土地基检测费用、试验费</t>
  </si>
  <si>
    <t>暂估</t>
  </si>
  <si>
    <t>（三）</t>
  </si>
  <si>
    <t>工程预备费</t>
  </si>
  <si>
    <t>基本预备费</t>
  </si>
  <si>
    <t>【（一）+(二）】*5%</t>
  </si>
  <si>
    <t>涨价预备费</t>
  </si>
  <si>
    <t>（四）</t>
  </si>
  <si>
    <t>静态投资合计</t>
  </si>
  <si>
    <t>（五）</t>
  </si>
  <si>
    <t>建设期利息</t>
  </si>
  <si>
    <t>（六）</t>
  </si>
  <si>
    <t>固定资产投资方向调节税</t>
  </si>
  <si>
    <t>（七）</t>
  </si>
  <si>
    <t>铺底流动资金30%</t>
  </si>
  <si>
    <t>（八）</t>
  </si>
  <si>
    <t>建设总资金</t>
  </si>
  <si>
    <t>工程总概算表</t>
  </si>
  <si>
    <t>项目名称：南部片区污水整治提升工程</t>
  </si>
  <si>
    <t>工程或费用名称</t>
  </si>
  <si>
    <t>技术经济指标</t>
  </si>
  <si>
    <t>建筑工程</t>
  </si>
  <si>
    <t>安装工程</t>
  </si>
  <si>
    <t>设备购置费</t>
  </si>
  <si>
    <t>其他费用</t>
  </si>
  <si>
    <t>单位价值（元）</t>
  </si>
  <si>
    <t xml:space="preserve">一 </t>
  </si>
  <si>
    <t>坂东镇</t>
  </si>
  <si>
    <t>塔庄镇</t>
  </si>
  <si>
    <t>池园镇</t>
  </si>
  <si>
    <t>省璜镇</t>
  </si>
  <si>
    <t>白中镇</t>
  </si>
  <si>
    <t>合同价</t>
  </si>
  <si>
    <t>8折</t>
  </si>
  <si>
    <t>第一部分工程费用*0.45%</t>
  </si>
  <si>
    <t>工程勘察审查费</t>
  </si>
  <si>
    <t>工程勘察费*费率</t>
  </si>
  <si>
    <t>工程质量检测费</t>
  </si>
  <si>
    <t>闽水建设[2021]2号</t>
  </si>
  <si>
    <t>工程交易服务费</t>
  </si>
  <si>
    <t>CCTV检测费</t>
  </si>
  <si>
    <t>支付担保费</t>
  </si>
  <si>
    <t>闽建筑[2021]21号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</si>
</sst>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  <numFmt numFmtId="179" formatCode="0_);[Red]\(0\)"/>
    <numFmt numFmtId="180" formatCode="0_ "/>
  </numFmts>
  <fonts count="4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3"/>
      <name val="宋体"/>
      <charset val="134"/>
    </font>
    <font>
      <sz val="10"/>
      <color rgb="FFFF0000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47" fillId="0" borderId="0"/>
    <xf numFmtId="0" fontId="47" fillId="0" borderId="0"/>
    <xf numFmtId="0" fontId="0" fillId="0" borderId="0">
      <alignment vertical="center"/>
    </xf>
    <xf numFmtId="0" fontId="47" fillId="0" borderId="0"/>
    <xf numFmtId="0" fontId="47" fillId="0" borderId="0"/>
    <xf numFmtId="0" fontId="0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47" fillId="0" borderId="0"/>
    <xf numFmtId="0" fontId="48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0" fontId="2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176" fontId="10" fillId="0" borderId="1" xfId="24" applyNumberFormat="1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178" fontId="10" fillId="0" borderId="1" xfId="24" applyNumberFormat="1" applyFont="1" applyFill="1" applyBorder="1" applyAlignment="1">
      <alignment horizontal="center" vertical="center" wrapText="1"/>
    </xf>
    <xf numFmtId="179" fontId="10" fillId="0" borderId="1" xfId="24" applyNumberFormat="1" applyFont="1" applyFill="1" applyBorder="1" applyAlignment="1">
      <alignment horizontal="center" vertical="center" wrapText="1"/>
    </xf>
    <xf numFmtId="10" fontId="9" fillId="0" borderId="1" xfId="6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6" fillId="0" borderId="1" xfId="69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 shrinkToFit="1"/>
    </xf>
    <xf numFmtId="177" fontId="6" fillId="0" borderId="1" xfId="69" applyNumberFormat="1" applyFont="1" applyBorder="1" applyAlignment="1">
      <alignment horizontal="center" vertical="center"/>
    </xf>
    <xf numFmtId="0" fontId="7" fillId="0" borderId="1" xfId="24" applyFont="1" applyFill="1" applyBorder="1" applyAlignment="1">
      <alignment horizontal="center" vertical="center" wrapText="1"/>
    </xf>
    <xf numFmtId="178" fontId="7" fillId="0" borderId="1" xfId="24" applyNumberFormat="1" applyFont="1" applyFill="1" applyBorder="1" applyAlignment="1">
      <alignment horizontal="center" vertical="center" wrapText="1"/>
    </xf>
    <xf numFmtId="179" fontId="7" fillId="0" borderId="1" xfId="24" applyNumberFormat="1" applyFont="1" applyFill="1" applyBorder="1" applyAlignment="1">
      <alignment horizontal="center" vertical="center" wrapText="1"/>
    </xf>
    <xf numFmtId="178" fontId="12" fillId="0" borderId="1" xfId="57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2" fillId="0" borderId="1" xfId="57" applyFont="1" applyBorder="1" applyAlignment="1">
      <alignment horizontal="left" vertical="center" wrapText="1"/>
    </xf>
    <xf numFmtId="180" fontId="12" fillId="0" borderId="1" xfId="57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6" fontId="9" fillId="0" borderId="1" xfId="24" applyNumberFormat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5" fillId="0" borderId="1" xfId="77" applyNumberFormat="1" applyFont="1" applyBorder="1" applyAlignment="1">
      <alignment horizontal="center" vertical="center"/>
    </xf>
    <xf numFmtId="0" fontId="15" fillId="0" borderId="1" xfId="63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9" fontId="15" fillId="0" borderId="1" xfId="77" applyNumberFormat="1" applyFont="1" applyBorder="1" applyAlignment="1">
      <alignment horizontal="left" vertical="center"/>
    </xf>
    <xf numFmtId="177" fontId="6" fillId="0" borderId="1" xfId="76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10" fontId="6" fillId="0" borderId="1" xfId="61" applyNumberFormat="1" applyFont="1" applyBorder="1" applyAlignment="1">
      <alignment horizontal="center" vertical="center"/>
    </xf>
    <xf numFmtId="10" fontId="6" fillId="0" borderId="0" xfId="61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 wrapText="1"/>
    </xf>
    <xf numFmtId="0" fontId="9" fillId="0" borderId="1" xfId="61" applyFont="1" applyBorder="1" applyAlignment="1">
      <alignment horizontal="left" vertical="center" wrapText="1"/>
    </xf>
    <xf numFmtId="177" fontId="9" fillId="0" borderId="1" xfId="61" applyNumberFormat="1" applyFont="1" applyBorder="1" applyAlignment="1">
      <alignment horizontal="center" vertical="center" wrapText="1"/>
    </xf>
    <xf numFmtId="0" fontId="9" fillId="0" borderId="0" xfId="61" applyFont="1" applyAlignment="1">
      <alignment horizontal="center" vertical="center" wrapText="1"/>
    </xf>
    <xf numFmtId="0" fontId="6" fillId="0" borderId="1" xfId="61" applyFont="1" applyBorder="1" applyAlignment="1">
      <alignment horizontal="center" vertical="center" wrapText="1"/>
    </xf>
    <xf numFmtId="0" fontId="6" fillId="0" borderId="1" xfId="61" applyFont="1" applyBorder="1" applyAlignment="1">
      <alignment horizontal="left" vertical="center" wrapText="1"/>
    </xf>
    <xf numFmtId="177" fontId="6" fillId="0" borderId="1" xfId="61" applyNumberFormat="1" applyFont="1" applyBorder="1" applyAlignment="1">
      <alignment horizontal="center" vertical="center" wrapText="1"/>
    </xf>
    <xf numFmtId="10" fontId="6" fillId="0" borderId="1" xfId="61" applyNumberFormat="1" applyFont="1" applyBorder="1" applyAlignment="1">
      <alignment horizontal="center" vertical="center" wrapText="1"/>
    </xf>
    <xf numFmtId="9" fontId="6" fillId="0" borderId="1" xfId="61" applyNumberFormat="1" applyFont="1" applyBorder="1" applyAlignment="1">
      <alignment horizontal="center" vertical="center" wrapText="1"/>
    </xf>
    <xf numFmtId="9" fontId="6" fillId="0" borderId="0" xfId="61" applyNumberFormat="1" applyFont="1" applyAlignment="1">
      <alignment horizontal="center" vertical="center" wrapText="1"/>
    </xf>
    <xf numFmtId="0" fontId="6" fillId="0" borderId="0" xfId="61" applyFont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178" fontId="9" fillId="0" borderId="1" xfId="6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7" fillId="0" borderId="1" xfId="24" applyFont="1" applyFill="1" applyBorder="1" applyAlignment="1">
      <alignment horizontal="center" vertical="center" wrapText="1"/>
    </xf>
    <xf numFmtId="0" fontId="17" fillId="0" borderId="1" xfId="24" applyFont="1" applyFill="1" applyBorder="1" applyAlignment="1">
      <alignment horizontal="left" vertical="center" wrapText="1"/>
    </xf>
    <xf numFmtId="176" fontId="18" fillId="0" borderId="1" xfId="24" applyNumberFormat="1" applyFont="1" applyFill="1" applyBorder="1" applyAlignment="1">
      <alignment horizontal="center" vertical="center" wrapText="1"/>
    </xf>
    <xf numFmtId="0" fontId="18" fillId="0" borderId="1" xfId="24" applyFont="1" applyFill="1" applyBorder="1" applyAlignment="1">
      <alignment horizontal="center" vertical="center" wrapText="1"/>
    </xf>
    <xf numFmtId="179" fontId="18" fillId="0" borderId="1" xfId="24" applyNumberFormat="1" applyFont="1" applyFill="1" applyBorder="1" applyAlignment="1">
      <alignment horizontal="center" vertical="center" wrapText="1"/>
    </xf>
    <xf numFmtId="2" fontId="9" fillId="0" borderId="1" xfId="6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8" fillId="0" borderId="1" xfId="24" applyNumberFormat="1" applyFont="1" applyFill="1" applyBorder="1" applyAlignment="1">
      <alignment horizontal="center" vertical="center" wrapText="1"/>
    </xf>
    <xf numFmtId="0" fontId="11" fillId="0" borderId="1" xfId="22" applyFont="1" applyFill="1" applyBorder="1" applyAlignment="1">
      <alignment horizontal="center" vertical="center" wrapText="1"/>
    </xf>
    <xf numFmtId="0" fontId="11" fillId="0" borderId="1" xfId="22" applyFont="1" applyFill="1" applyBorder="1" applyAlignment="1">
      <alignment horizontal="left" vertical="center"/>
    </xf>
    <xf numFmtId="176" fontId="11" fillId="0" borderId="1" xfId="22" applyNumberFormat="1" applyFont="1" applyFill="1" applyBorder="1" applyAlignment="1">
      <alignment horizontal="center" vertical="center"/>
    </xf>
    <xf numFmtId="177" fontId="11" fillId="0" borderId="1" xfId="22" applyNumberFormat="1" applyFont="1" applyFill="1" applyBorder="1" applyAlignment="1">
      <alignment horizontal="center" vertical="center"/>
    </xf>
    <xf numFmtId="0" fontId="11" fillId="0" borderId="1" xfId="22" applyFont="1" applyFill="1" applyBorder="1" applyAlignment="1">
      <alignment horizontal="center" vertical="center"/>
    </xf>
    <xf numFmtId="0" fontId="11" fillId="0" borderId="1" xfId="24" applyFont="1" applyFill="1" applyBorder="1" applyAlignment="1">
      <alignment horizontal="center" vertical="center" wrapText="1"/>
    </xf>
    <xf numFmtId="179" fontId="19" fillId="0" borderId="1" xfId="24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6" fontId="0" fillId="0" borderId="0" xfId="0" applyNumberFormat="1"/>
    <xf numFmtId="176" fontId="6" fillId="0" borderId="1" xfId="0" applyNumberFormat="1" applyFont="1" applyBorder="1" applyAlignment="1">
      <alignment horizontal="left" vertical="center" wrapText="1"/>
    </xf>
    <xf numFmtId="176" fontId="20" fillId="0" borderId="1" xfId="24" applyNumberFormat="1" applyFont="1" applyFill="1" applyBorder="1" applyAlignment="1">
      <alignment horizontal="center" vertical="center" wrapText="1"/>
    </xf>
    <xf numFmtId="0" fontId="20" fillId="0" borderId="1" xfId="24" applyFont="1" applyFill="1" applyBorder="1" applyAlignment="1">
      <alignment horizontal="center" vertical="center" wrapText="1"/>
    </xf>
    <xf numFmtId="177" fontId="20" fillId="0" borderId="1" xfId="24" applyNumberFormat="1" applyFont="1" applyFill="1" applyBorder="1" applyAlignment="1">
      <alignment horizontal="center" vertical="center" wrapText="1"/>
    </xf>
    <xf numFmtId="179" fontId="20" fillId="0" borderId="1" xfId="24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9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24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6" fillId="0" borderId="1" xfId="24" applyNumberFormat="1" applyFont="1" applyFill="1" applyBorder="1" applyAlignment="1">
      <alignment horizontal="center" vertical="center" wrapText="1"/>
    </xf>
    <xf numFmtId="179" fontId="6" fillId="0" borderId="1" xfId="2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24" applyNumberFormat="1" applyFont="1" applyFill="1" applyBorder="1" applyAlignment="1">
      <alignment horizontal="center" vertical="center" wrapText="1"/>
    </xf>
    <xf numFmtId="177" fontId="11" fillId="0" borderId="1" xfId="24" applyNumberFormat="1" applyFont="1" applyFill="1" applyBorder="1" applyAlignment="1">
      <alignment horizontal="center" vertical="center" wrapText="1"/>
    </xf>
    <xf numFmtId="179" fontId="6" fillId="0" borderId="1" xfId="22" applyNumberFormat="1" applyFont="1" applyFill="1" applyBorder="1" applyAlignment="1">
      <alignment horizontal="center" vertical="center"/>
    </xf>
    <xf numFmtId="0" fontId="11" fillId="0" borderId="1" xfId="24" applyFont="1" applyFill="1" applyBorder="1" applyAlignment="1">
      <alignment horizontal="left" vertical="center" wrapText="1"/>
    </xf>
    <xf numFmtId="179" fontId="11" fillId="0" borderId="1" xfId="24" applyNumberFormat="1" applyFont="1" applyFill="1" applyBorder="1" applyAlignment="1">
      <alignment horizontal="center" vertical="center" wrapText="1"/>
    </xf>
    <xf numFmtId="0" fontId="19" fillId="0" borderId="1" xfId="2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9" fillId="0" borderId="1" xfId="0" applyNumberFormat="1" applyFont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179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177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176" fontId="17" fillId="0" borderId="3" xfId="24" applyNumberFormat="1" applyFont="1" applyFill="1" applyBorder="1" applyAlignment="1">
      <alignment horizontal="center" vertical="center" wrapText="1"/>
    </xf>
    <xf numFmtId="176" fontId="17" fillId="0" borderId="4" xfId="24" applyNumberFormat="1" applyFont="1" applyFill="1" applyBorder="1" applyAlignment="1">
      <alignment horizontal="center" vertical="center" wrapText="1"/>
    </xf>
    <xf numFmtId="177" fontId="17" fillId="0" borderId="1" xfId="24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12" fillId="0" borderId="3" xfId="76" applyNumberFormat="1" applyFont="1" applyBorder="1" applyAlignment="1">
      <alignment horizontal="center" vertical="center" wrapText="1"/>
    </xf>
    <xf numFmtId="177" fontId="6" fillId="0" borderId="4" xfId="76" applyNumberFormat="1" applyFont="1" applyBorder="1" applyAlignment="1">
      <alignment horizontal="center" vertical="center" wrapText="1"/>
    </xf>
    <xf numFmtId="179" fontId="15" fillId="0" borderId="1" xfId="77" applyNumberFormat="1" applyFont="1" applyBorder="1" applyAlignment="1">
      <alignment horizontal="center" vertical="center" wrapText="1"/>
    </xf>
    <xf numFmtId="0" fontId="15" fillId="0" borderId="1" xfId="77" applyFont="1" applyBorder="1" applyAlignment="1">
      <alignment horizontal="center" vertical="center"/>
    </xf>
    <xf numFmtId="179" fontId="15" fillId="0" borderId="1" xfId="77" applyNumberFormat="1" applyFont="1" applyBorder="1" applyAlignment="1">
      <alignment horizontal="center" vertical="center"/>
    </xf>
    <xf numFmtId="180" fontId="15" fillId="0" borderId="1" xfId="77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7" fontId="12" fillId="0" borderId="3" xfId="61" applyNumberFormat="1" applyFont="1" applyBorder="1" applyAlignment="1">
      <alignment horizontal="center" vertical="center"/>
    </xf>
    <xf numFmtId="177" fontId="12" fillId="0" borderId="4" xfId="61" applyNumberFormat="1" applyFont="1" applyBorder="1" applyAlignment="1">
      <alignment horizontal="center" vertical="center"/>
    </xf>
    <xf numFmtId="177" fontId="12" fillId="0" borderId="4" xfId="76" applyNumberFormat="1" applyFont="1" applyBorder="1" applyAlignment="1">
      <alignment horizontal="center" vertical="center" wrapText="1"/>
    </xf>
    <xf numFmtId="177" fontId="12" fillId="0" borderId="5" xfId="76" applyNumberFormat="1" applyFont="1" applyBorder="1" applyAlignment="1">
      <alignment horizontal="center" vertical="center" wrapText="1"/>
    </xf>
    <xf numFmtId="177" fontId="9" fillId="0" borderId="3" xfId="61" applyNumberFormat="1" applyFont="1" applyBorder="1" applyAlignment="1">
      <alignment horizontal="center" vertical="center" wrapText="1"/>
    </xf>
    <xf numFmtId="177" fontId="9" fillId="0" borderId="4" xfId="61" applyNumberFormat="1" applyFont="1" applyBorder="1" applyAlignment="1">
      <alignment horizontal="center" vertical="center" wrapText="1"/>
    </xf>
    <xf numFmtId="177" fontId="6" fillId="0" borderId="3" xfId="61" applyNumberFormat="1" applyFont="1" applyBorder="1" applyAlignment="1">
      <alignment horizontal="center" vertical="center" wrapText="1"/>
    </xf>
    <xf numFmtId="177" fontId="6" fillId="0" borderId="4" xfId="61" applyNumberFormat="1" applyFont="1" applyBorder="1" applyAlignment="1">
      <alignment horizontal="center" vertical="center" wrapText="1"/>
    </xf>
    <xf numFmtId="2" fontId="6" fillId="0" borderId="1" xfId="6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25" fillId="0" borderId="0" xfId="6" applyFont="1" applyAlignment="1"/>
    <xf numFmtId="1" fontId="25" fillId="0" borderId="0" xfId="6" applyNumberFormat="1" applyFont="1" applyAlignment="1"/>
    <xf numFmtId="0" fontId="26" fillId="0" borderId="0" xfId="0" applyFont="1" applyAlignment="1">
      <alignment horizontal="center" vertical="center" wrapText="1"/>
    </xf>
    <xf numFmtId="177" fontId="6" fillId="0" borderId="3" xfId="76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0" borderId="0" xfId="6" applyAlignment="1">
      <alignment horizontal="center" vertical="center"/>
    </xf>
    <xf numFmtId="177" fontId="6" fillId="0" borderId="3" xfId="61" applyNumberFormat="1" applyFont="1" applyBorder="1" applyAlignment="1">
      <alignment horizontal="center" vertical="center"/>
    </xf>
    <xf numFmtId="177" fontId="6" fillId="0" borderId="4" xfId="61" applyNumberFormat="1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常规法" xfId="49"/>
    <cellStyle name="常规 6" xfId="50"/>
    <cellStyle name="常规 5 2" xfId="51"/>
    <cellStyle name="_ET_STYLE_NoName_00_" xfId="52"/>
    <cellStyle name="常规 3 2 2" xfId="53"/>
    <cellStyle name="_ET_STYLE_NoName_00_ 2" xfId="54"/>
    <cellStyle name="常规 3 2" xfId="55"/>
    <cellStyle name="常规 3 3" xfId="56"/>
    <cellStyle name="常规 2 2" xfId="57"/>
    <cellStyle name="常规 3 4" xfId="58"/>
    <cellStyle name="常规 2 3" xfId="59"/>
    <cellStyle name="常规 2 3 2" xfId="60"/>
    <cellStyle name="常规 2" xfId="61"/>
    <cellStyle name="常规 2 4" xfId="62"/>
    <cellStyle name="常规 3" xfId="63"/>
    <cellStyle name="常规 3 2 3" xfId="64"/>
    <cellStyle name="常规 3 3 2" xfId="65"/>
    <cellStyle name="常规 3 4 2" xfId="66"/>
    <cellStyle name="常规 3 5" xfId="67"/>
    <cellStyle name="常规 3 6" xfId="68"/>
    <cellStyle name="常规 4" xfId="69"/>
    <cellStyle name="常规 4 2" xfId="70"/>
    <cellStyle name="常规 4 2 2" xfId="71"/>
    <cellStyle name="常规 5" xfId="72"/>
    <cellStyle name="常规 6 2" xfId="73"/>
    <cellStyle name="常规 7" xfId="74"/>
    <cellStyle name="常规 7 2" xfId="75"/>
    <cellStyle name="常规 8" xfId="76"/>
    <cellStyle name="常规_潜江污水综合治理工程量表" xfId="77"/>
    <cellStyle name="样式 1" xfId="78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wp.gov.cn/zwgk/zfxxgk/zfxxgkml/14/202203/t20220317_188093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X38"/>
  <sheetViews>
    <sheetView topLeftCell="D1" workbookViewId="0">
      <selection activeCell="I8" sqref="I8"/>
    </sheetView>
  </sheetViews>
  <sheetFormatPr defaultColWidth="9" defaultRowHeight="13.5"/>
  <cols>
    <col min="4" max="4" width="9" style="172"/>
    <col min="5" max="5" width="23.3333333333333" style="172" customWidth="1"/>
    <col min="6" max="7" width="10" style="172" customWidth="1"/>
    <col min="8" max="8" width="10.775" style="172" customWidth="1"/>
    <col min="9" max="9" width="9" style="172"/>
    <col min="10" max="10" width="31.6666666666667" style="172" customWidth="1"/>
    <col min="13" max="16" width="9" style="173"/>
    <col min="17" max="17" width="9.44166666666667" style="173" customWidth="1"/>
    <col min="18" max="18" width="9" style="173"/>
    <col min="19" max="19" width="10.6666666666667" customWidth="1"/>
  </cols>
  <sheetData>
    <row r="1" spans="4:19">
      <c r="M1" s="174"/>
      <c r="N1" s="174"/>
      <c r="Q1" s="174"/>
    </row>
    <row r="2" spans="4:19">
      <c r="M2" s="174"/>
      <c r="N2" s="174"/>
      <c r="Q2" s="174"/>
    </row>
    <row r="3" spans="4:19">
      <c r="M3" s="174"/>
      <c r="N3" s="174"/>
      <c r="Q3" s="174"/>
    </row>
    <row r="4" spans="4:19">
      <c r="M4" s="174"/>
      <c r="N4" s="174"/>
      <c r="Q4" s="174"/>
    </row>
    <row r="5" ht="17.25" customHeight="1" spans="4:19">
      <c r="D5" s="175" t="s">
        <v>0</v>
      </c>
      <c r="E5" s="176"/>
      <c r="F5" s="176"/>
      <c r="G5" s="176"/>
      <c r="H5" s="176"/>
      <c r="I5" s="176"/>
      <c r="J5" s="177"/>
      <c r="M5" s="174"/>
      <c r="N5" s="174"/>
      <c r="Q5" s="174"/>
    </row>
    <row r="6" ht="17.25" customHeight="1" spans="4:19">
      <c r="D6" s="44" t="s">
        <v>1</v>
      </c>
      <c r="E6" s="44" t="s">
        <v>2</v>
      </c>
      <c r="F6" s="44" t="s">
        <v>3</v>
      </c>
      <c r="G6" s="44"/>
      <c r="H6" s="44"/>
      <c r="I6" s="44" t="s">
        <v>4</v>
      </c>
      <c r="J6" s="44" t="s">
        <v>5</v>
      </c>
      <c r="M6" s="174"/>
      <c r="N6" s="174"/>
      <c r="Q6" s="174"/>
    </row>
    <row r="7" ht="17.25" customHeight="1" spans="4:19">
      <c r="D7" s="44" t="s">
        <v>6</v>
      </c>
      <c r="E7" s="45" t="s">
        <v>7</v>
      </c>
      <c r="F7" s="44"/>
      <c r="G7" s="44"/>
      <c r="H7" s="44"/>
      <c r="I7" s="44"/>
      <c r="J7" s="44">
        <f>'投资估算表修编（底稿）'!H70</f>
        <v>6798.56</v>
      </c>
      <c r="M7" s="173" t="s">
        <v>8</v>
      </c>
      <c r="N7" s="173" t="s">
        <v>9</v>
      </c>
      <c r="O7" s="173" t="s">
        <v>10</v>
      </c>
      <c r="P7" s="173" t="s">
        <v>11</v>
      </c>
      <c r="Q7" s="173" t="s">
        <v>12</v>
      </c>
      <c r="R7" s="173" t="s">
        <v>13</v>
      </c>
      <c r="S7" s="178"/>
    </row>
    <row r="8" ht="17.25" customHeight="1" spans="4:19">
      <c r="D8" s="51">
        <v>1</v>
      </c>
      <c r="E8" s="52" t="s">
        <v>14</v>
      </c>
      <c r="F8" s="54" t="s">
        <v>15</v>
      </c>
      <c r="G8" s="54" t="s">
        <v>16</v>
      </c>
      <c r="H8" s="54" t="s">
        <v>17</v>
      </c>
      <c r="I8" s="179" t="e">
        <f>#REF!+I9+I12</f>
        <v>#REF!</v>
      </c>
      <c r="J8" s="44" t="e">
        <f>I8</f>
        <v>#REF!</v>
      </c>
      <c r="L8" s="173" t="s">
        <v>18</v>
      </c>
      <c r="M8" s="173">
        <v>1</v>
      </c>
      <c r="N8" s="173">
        <v>0.6</v>
      </c>
      <c r="O8" s="173">
        <v>0.6</v>
      </c>
      <c r="P8" s="173">
        <v>0.6</v>
      </c>
      <c r="Q8" s="173">
        <v>0.6</v>
      </c>
      <c r="R8" s="173">
        <v>0.6</v>
      </c>
      <c r="S8" s="178"/>
    </row>
    <row r="9" ht="17.25" customHeight="1" spans="4:19">
      <c r="D9" s="51">
        <v>1.2</v>
      </c>
      <c r="E9" s="57" t="s">
        <v>19</v>
      </c>
      <c r="F9" s="157"/>
      <c r="G9" s="158"/>
      <c r="H9" s="159"/>
      <c r="I9" s="54">
        <f>I10+I11</f>
        <v>3125</v>
      </c>
      <c r="J9" s="54">
        <f t="shared" ref="J9:J12" si="0">I9</f>
        <v>3125</v>
      </c>
      <c r="M9" s="173">
        <f>(3147+7632+19395)/666</f>
        <v>45.3063063063063</v>
      </c>
      <c r="N9" s="173">
        <f>1870/666</f>
        <v>2.80780780780781</v>
      </c>
      <c r="O9" s="173">
        <v>0</v>
      </c>
      <c r="P9" s="173">
        <f>266/666</f>
        <v>0.399399399399399</v>
      </c>
      <c r="Q9" s="173">
        <f>(5279+2515)/666</f>
        <v>11.7027027027027</v>
      </c>
      <c r="R9" s="173">
        <f>8225/666</f>
        <v>12.3498498498498</v>
      </c>
    </row>
    <row r="10" ht="17.25" customHeight="1" spans="4:19">
      <c r="D10" s="51" t="s">
        <v>20</v>
      </c>
      <c r="E10" s="57" t="s">
        <v>21</v>
      </c>
      <c r="F10" s="157" t="s">
        <v>22</v>
      </c>
      <c r="G10" s="158">
        <v>15.33</v>
      </c>
      <c r="H10" s="159">
        <v>200000</v>
      </c>
      <c r="I10" s="54">
        <f>156.16*20</f>
        <v>3123.2</v>
      </c>
      <c r="J10" s="54" t="s">
        <v>23</v>
      </c>
    </row>
    <row r="11" ht="17.25" customHeight="1" spans="4:19">
      <c r="D11" s="51" t="s">
        <v>24</v>
      </c>
      <c r="E11" s="57" t="s">
        <v>25</v>
      </c>
      <c r="F11" s="157" t="s">
        <v>22</v>
      </c>
      <c r="G11" s="158">
        <v>0</v>
      </c>
      <c r="H11" s="159">
        <v>3000</v>
      </c>
      <c r="I11" s="54">
        <f>6*0.3</f>
        <v>1.8</v>
      </c>
      <c r="J11" s="54" t="s">
        <v>26</v>
      </c>
      <c r="L11" s="173" t="s">
        <v>27</v>
      </c>
      <c r="M11" s="173">
        <f t="shared" ref="M11:R11" si="1">M9+M10</f>
        <v>45.3063063063063</v>
      </c>
      <c r="N11" s="173">
        <f t="shared" si="1"/>
        <v>2.80780780780781</v>
      </c>
      <c r="O11" s="173">
        <f t="shared" si="1"/>
        <v>0</v>
      </c>
      <c r="P11" s="173">
        <f t="shared" si="1"/>
        <v>0.399399399399399</v>
      </c>
      <c r="Q11" s="173">
        <f t="shared" si="1"/>
        <v>11.7027027027027</v>
      </c>
      <c r="R11" s="173">
        <f t="shared" si="1"/>
        <v>12.3498498498498</v>
      </c>
    </row>
    <row r="12" ht="17.25" customHeight="1" spans="4:19">
      <c r="D12" s="51">
        <v>1.3</v>
      </c>
      <c r="E12" s="57" t="s">
        <v>28</v>
      </c>
      <c r="F12" s="157"/>
      <c r="G12" s="158"/>
      <c r="H12" s="159"/>
      <c r="I12" s="54">
        <f>SUM(I13:I22)</f>
        <v>8200.75</v>
      </c>
      <c r="J12" s="54">
        <f t="shared" si="0"/>
        <v>8200.75</v>
      </c>
      <c r="K12" t="s">
        <v>29</v>
      </c>
      <c r="M12" s="173">
        <v>47500</v>
      </c>
      <c r="N12" s="173">
        <f>17100</f>
        <v>17100</v>
      </c>
      <c r="O12" s="173">
        <f>17100</f>
        <v>17100</v>
      </c>
      <c r="P12" s="173">
        <f>17100</f>
        <v>17100</v>
      </c>
      <c r="Q12" s="173">
        <v>10450</v>
      </c>
      <c r="R12" s="173">
        <v>10450</v>
      </c>
      <c r="S12" s="180"/>
    </row>
    <row r="13" ht="17.25" customHeight="1" spans="4:19">
      <c r="D13" s="51" t="s">
        <v>30</v>
      </c>
      <c r="E13" s="57" t="s">
        <v>31</v>
      </c>
      <c r="F13" s="157" t="s">
        <v>32</v>
      </c>
      <c r="G13" s="158">
        <v>4511</v>
      </c>
      <c r="H13" s="159">
        <v>13000</v>
      </c>
      <c r="I13" s="54">
        <f>5637*1.3</f>
        <v>7328.1</v>
      </c>
      <c r="J13" s="54" t="s">
        <v>33</v>
      </c>
      <c r="K13" t="s">
        <v>34</v>
      </c>
      <c r="M13" s="173">
        <v>1900</v>
      </c>
      <c r="N13" s="173">
        <v>2000</v>
      </c>
      <c r="O13" s="173">
        <v>500</v>
      </c>
      <c r="P13" s="173">
        <f>+$L$12*P8</f>
        <v>0</v>
      </c>
      <c r="Q13" s="173">
        <f>+$L$12*Q8</f>
        <v>0</v>
      </c>
      <c r="R13" s="173">
        <f>+$L$12*R8</f>
        <v>0</v>
      </c>
    </row>
    <row r="14" ht="17.25" customHeight="1" spans="4:19">
      <c r="D14" s="51" t="s">
        <v>35</v>
      </c>
      <c r="E14" s="57" t="s">
        <v>36</v>
      </c>
      <c r="F14" s="157" t="s">
        <v>32</v>
      </c>
      <c r="G14" s="158">
        <v>1323</v>
      </c>
      <c r="H14" s="159">
        <v>13000</v>
      </c>
      <c r="I14" s="54"/>
      <c r="J14" s="54"/>
      <c r="O14" s="173">
        <v>700</v>
      </c>
    </row>
    <row r="15" ht="17.25" customHeight="1" spans="4:19">
      <c r="D15" s="51" t="s">
        <v>37</v>
      </c>
      <c r="E15" s="57" t="s">
        <v>38</v>
      </c>
      <c r="F15" s="157" t="s">
        <v>32</v>
      </c>
      <c r="G15" s="158">
        <v>267</v>
      </c>
      <c r="H15" s="159">
        <v>8500</v>
      </c>
      <c r="I15" s="54">
        <f>893*0.85</f>
        <v>759.05</v>
      </c>
      <c r="J15" s="54" t="s">
        <v>39</v>
      </c>
      <c r="L15" t="s">
        <v>4</v>
      </c>
      <c r="M15" s="173">
        <f>M11*(M12+M13)</f>
        <v>2238131.53153153</v>
      </c>
      <c r="N15" s="173">
        <f>N11*(N12+N13)</f>
        <v>53629.1291291291</v>
      </c>
      <c r="O15" s="173">
        <f>O11*O12+O9*O13+O10*O14</f>
        <v>0</v>
      </c>
      <c r="P15" s="173">
        <f>P11*(P12+P13)</f>
        <v>6829.72972972973</v>
      </c>
      <c r="Q15" s="173">
        <f>Q11*(Q12+Q13)</f>
        <v>122293.243243243</v>
      </c>
      <c r="R15" s="173">
        <f>R11*(R12+R13)</f>
        <v>129055.930930931</v>
      </c>
      <c r="S15" s="181">
        <f>SUM(M15:R15)/SUM(M11:R11)</f>
        <v>35139.5590639161</v>
      </c>
    </row>
    <row r="16" ht="17.25" customHeight="1" spans="4:19">
      <c r="D16" s="51" t="s">
        <v>40</v>
      </c>
      <c r="E16" s="57" t="s">
        <v>41</v>
      </c>
      <c r="F16" s="157" t="s">
        <v>42</v>
      </c>
      <c r="G16" s="158">
        <v>1</v>
      </c>
      <c r="H16" s="159">
        <v>80000</v>
      </c>
      <c r="I16" s="54">
        <f>4*8</f>
        <v>32</v>
      </c>
      <c r="J16" s="54" t="s">
        <v>43</v>
      </c>
    </row>
    <row r="17" ht="17.25" customHeight="1" spans="4:24">
      <c r="D17" s="51" t="s">
        <v>44</v>
      </c>
      <c r="E17" s="57" t="s">
        <v>45</v>
      </c>
      <c r="F17" s="157" t="s">
        <v>46</v>
      </c>
      <c r="G17" s="158">
        <v>0</v>
      </c>
      <c r="H17" s="159">
        <v>30000</v>
      </c>
      <c r="I17" s="54">
        <f>1*3</f>
        <v>3</v>
      </c>
      <c r="J17" s="54" t="s">
        <v>47</v>
      </c>
      <c r="P17" s="182" t="s">
        <v>48</v>
      </c>
      <c r="Q17" s="182" t="s">
        <v>49</v>
      </c>
      <c r="R17" s="182" t="s">
        <v>50</v>
      </c>
      <c r="S17" s="182" t="s">
        <v>51</v>
      </c>
      <c r="T17" s="182" t="s">
        <v>52</v>
      </c>
      <c r="U17" s="182" t="s">
        <v>53</v>
      </c>
      <c r="V17" s="182" t="s">
        <v>54</v>
      </c>
      <c r="W17" s="182" t="s">
        <v>55</v>
      </c>
      <c r="X17" s="182" t="s">
        <v>54</v>
      </c>
    </row>
    <row r="18" ht="17.25" customHeight="1" spans="4:24">
      <c r="D18" s="51" t="s">
        <v>56</v>
      </c>
      <c r="E18" s="57" t="s">
        <v>57</v>
      </c>
      <c r="F18" s="157" t="s">
        <v>42</v>
      </c>
      <c r="G18" s="158">
        <v>5</v>
      </c>
      <c r="H18" s="159"/>
      <c r="I18" s="54"/>
      <c r="J18" s="54"/>
      <c r="P18" s="182"/>
      <c r="Q18" s="182"/>
      <c r="R18" s="182"/>
      <c r="S18" s="182"/>
      <c r="T18" s="182"/>
      <c r="U18" s="182"/>
      <c r="V18" s="182"/>
      <c r="W18" s="182"/>
      <c r="X18" s="182"/>
    </row>
    <row r="19" ht="17.25" customHeight="1" spans="4:24">
      <c r="D19" s="51" t="s">
        <v>58</v>
      </c>
      <c r="E19" s="57" t="s">
        <v>59</v>
      </c>
      <c r="F19" s="157" t="s">
        <v>42</v>
      </c>
      <c r="G19" s="158">
        <v>0</v>
      </c>
      <c r="H19" s="159">
        <v>20000</v>
      </c>
      <c r="I19" s="54">
        <f>3*2</f>
        <v>6</v>
      </c>
      <c r="J19" s="54" t="s">
        <v>60</v>
      </c>
      <c r="M19" s="173" t="s">
        <v>31</v>
      </c>
      <c r="N19" s="173" t="s">
        <v>32</v>
      </c>
      <c r="P19" s="173">
        <v>1000</v>
      </c>
      <c r="Q19" s="173">
        <f>100+100+70</f>
        <v>270</v>
      </c>
      <c r="R19" s="173">
        <f>O19/3*1.7+O19/3*1.2+O19/3</f>
        <v>0</v>
      </c>
      <c r="S19" s="173">
        <f>12*10*1</f>
        <v>120</v>
      </c>
      <c r="T19" s="173">
        <f>8*2+7*24</f>
        <v>184</v>
      </c>
      <c r="U19" s="173">
        <f>200+100</f>
        <v>300</v>
      </c>
      <c r="V19" s="173">
        <f>P19+Q19+S19+T19+U19</f>
        <v>1874</v>
      </c>
      <c r="W19">
        <f>R19*V19</f>
        <v>0</v>
      </c>
      <c r="X19" s="173" t="e">
        <f>W19/O19</f>
        <v>#DIV/0!</v>
      </c>
    </row>
    <row r="20" ht="17.25" customHeight="1" spans="4:24">
      <c r="D20" s="51" t="s">
        <v>61</v>
      </c>
      <c r="E20" s="57" t="s">
        <v>62</v>
      </c>
      <c r="F20" s="157" t="s">
        <v>63</v>
      </c>
      <c r="G20" s="158">
        <v>1600</v>
      </c>
      <c r="H20" s="159">
        <v>150</v>
      </c>
      <c r="I20" s="54">
        <f>960*150/10000</f>
        <v>14.4</v>
      </c>
      <c r="J20" s="54" t="s">
        <v>64</v>
      </c>
      <c r="M20" s="173" t="s">
        <v>65</v>
      </c>
      <c r="N20" s="173" t="s">
        <v>32</v>
      </c>
      <c r="O20" s="173">
        <f>3345+402</f>
        <v>3747</v>
      </c>
      <c r="P20" s="173">
        <v>900</v>
      </c>
      <c r="Q20" s="173">
        <f>70+62</f>
        <v>132</v>
      </c>
      <c r="R20" s="173">
        <f>O20/2*1.7+O20/2*1.2</f>
        <v>5433.15</v>
      </c>
      <c r="S20" s="173">
        <f>10*10*1</f>
        <v>100</v>
      </c>
      <c r="T20" s="173">
        <f t="shared" ref="T20:T22" si="2">8*2+7*24</f>
        <v>184</v>
      </c>
      <c r="U20" s="173">
        <f t="shared" ref="U20:U22" si="3">200+100</f>
        <v>300</v>
      </c>
      <c r="V20" s="173">
        <f>P20+Q20+T20+U20</f>
        <v>1516</v>
      </c>
      <c r="W20">
        <f>R20*V20</f>
        <v>8236655.4</v>
      </c>
      <c r="X20" s="173">
        <f>W20/O20</f>
        <v>2198.2</v>
      </c>
    </row>
    <row r="21" ht="17.25" customHeight="1" spans="4:24">
      <c r="D21" s="51" t="s">
        <v>66</v>
      </c>
      <c r="E21" s="57" t="s">
        <v>67</v>
      </c>
      <c r="F21" s="157" t="s">
        <v>42</v>
      </c>
      <c r="G21" s="158">
        <v>0</v>
      </c>
      <c r="H21" s="159">
        <v>2000</v>
      </c>
      <c r="I21" s="54">
        <f>41*0.2</f>
        <v>8.2</v>
      </c>
      <c r="J21" s="54" t="s">
        <v>68</v>
      </c>
      <c r="M21" s="173" t="s">
        <v>38</v>
      </c>
      <c r="N21" s="173" t="s">
        <v>32</v>
      </c>
      <c r="O21" s="173">
        <v>722</v>
      </c>
      <c r="P21" s="173">
        <v>780</v>
      </c>
      <c r="R21" s="173">
        <f>O21</f>
        <v>722</v>
      </c>
      <c r="S21" s="173"/>
      <c r="T21" s="173">
        <f t="shared" si="2"/>
        <v>184</v>
      </c>
      <c r="U21" s="173">
        <f t="shared" si="3"/>
        <v>300</v>
      </c>
      <c r="V21" s="173">
        <f>P21+Q21+T21+U21</f>
        <v>1264</v>
      </c>
      <c r="W21">
        <f>R21*V21</f>
        <v>912608</v>
      </c>
      <c r="X21" s="173">
        <f>W21/O21</f>
        <v>1264</v>
      </c>
    </row>
    <row r="22" ht="17.25" customHeight="1" spans="4:24">
      <c r="D22" s="51" t="s">
        <v>69</v>
      </c>
      <c r="E22" s="57" t="s">
        <v>70</v>
      </c>
      <c r="F22" s="157" t="s">
        <v>46</v>
      </c>
      <c r="G22" s="158">
        <v>1</v>
      </c>
      <c r="H22" s="160">
        <v>500000</v>
      </c>
      <c r="I22" s="54">
        <v>50</v>
      </c>
      <c r="J22" s="54">
        <v>50</v>
      </c>
      <c r="M22" s="173" t="s">
        <v>71</v>
      </c>
      <c r="N22" s="173" t="s">
        <v>32</v>
      </c>
      <c r="O22" s="173">
        <v>456</v>
      </c>
      <c r="P22" s="173">
        <v>680</v>
      </c>
      <c r="R22" s="173">
        <f>O22</f>
        <v>456</v>
      </c>
      <c r="S22" s="173"/>
      <c r="T22" s="173">
        <f t="shared" si="2"/>
        <v>184</v>
      </c>
      <c r="U22" s="173">
        <f t="shared" si="3"/>
        <v>300</v>
      </c>
      <c r="V22" s="173">
        <f>P22+Q22+T22+U22</f>
        <v>1164</v>
      </c>
      <c r="W22">
        <f>R22*V22</f>
        <v>530784</v>
      </c>
      <c r="X22" s="173">
        <f>W22/O22</f>
        <v>1164</v>
      </c>
    </row>
    <row r="23" ht="17.25" customHeight="1" spans="4:24">
      <c r="D23" s="54">
        <v>2</v>
      </c>
      <c r="E23" s="57" t="s">
        <v>72</v>
      </c>
      <c r="F23" s="183" t="s">
        <v>73</v>
      </c>
      <c r="G23" s="156"/>
      <c r="H23" s="156"/>
      <c r="I23" s="54">
        <f>'投资估算表修编（底稿）'!H85</f>
        <v>44.43</v>
      </c>
      <c r="J23" s="54" t="s">
        <v>74</v>
      </c>
    </row>
    <row r="24" ht="17.25" customHeight="1" spans="4:24">
      <c r="D24" s="54">
        <v>3</v>
      </c>
      <c r="E24" s="57" t="s">
        <v>75</v>
      </c>
      <c r="F24" s="183" t="s">
        <v>76</v>
      </c>
      <c r="G24" s="156"/>
      <c r="H24" s="156"/>
      <c r="I24" s="54">
        <f>'投资估算表修编（底稿）'!H86</f>
        <v>69.69</v>
      </c>
      <c r="J24" s="184" t="s">
        <v>77</v>
      </c>
    </row>
    <row r="25" ht="31.5" customHeight="1" spans="4:24">
      <c r="D25" s="54">
        <v>5</v>
      </c>
      <c r="E25" s="57" t="s">
        <v>78</v>
      </c>
      <c r="F25" s="183" t="s">
        <v>79</v>
      </c>
      <c r="G25" s="156"/>
      <c r="H25" s="156"/>
      <c r="I25" s="54">
        <f>'投资估算表修编（底稿）'!H87</f>
        <v>11.11</v>
      </c>
      <c r="J25" s="184" t="s">
        <v>80</v>
      </c>
    </row>
    <row r="26" ht="17.25" customHeight="1" spans="4:24">
      <c r="D26" s="54">
        <v>6</v>
      </c>
      <c r="E26" s="57" t="s">
        <v>81</v>
      </c>
      <c r="F26" s="183" t="s">
        <v>82</v>
      </c>
      <c r="G26" s="156"/>
      <c r="H26" s="156"/>
      <c r="I26" s="54">
        <f>'投资估算表修编（底稿）'!H88</f>
        <v>43.81</v>
      </c>
      <c r="J26" s="184" t="s">
        <v>83</v>
      </c>
    </row>
    <row r="27" ht="17.25" customHeight="1" spans="4:24">
      <c r="D27" s="54">
        <v>7</v>
      </c>
      <c r="E27" s="57" t="s">
        <v>84</v>
      </c>
      <c r="F27" s="183" t="s">
        <v>85</v>
      </c>
      <c r="G27" s="156"/>
      <c r="H27" s="156"/>
      <c r="I27" s="54">
        <f>'投资估算表修编（底稿）'!H89</f>
        <v>14.81</v>
      </c>
      <c r="J27" s="184" t="s">
        <v>86</v>
      </c>
    </row>
    <row r="28" ht="17.25" customHeight="1" spans="4:24">
      <c r="D28" s="54">
        <v>8</v>
      </c>
      <c r="E28" s="57" t="s">
        <v>87</v>
      </c>
      <c r="F28" s="183" t="s">
        <v>88</v>
      </c>
      <c r="G28" s="156"/>
      <c r="H28" s="156"/>
      <c r="I28" s="54">
        <f>'投资估算表修编（底稿）'!H90</f>
        <v>81.61</v>
      </c>
      <c r="J28" s="184" t="s">
        <v>89</v>
      </c>
    </row>
    <row r="29" ht="30.75" customHeight="1" spans="4:24">
      <c r="D29" s="54">
        <v>9</v>
      </c>
      <c r="E29" s="57" t="s">
        <v>90</v>
      </c>
      <c r="F29" s="183" t="s">
        <v>91</v>
      </c>
      <c r="G29" s="156"/>
      <c r="H29" s="156"/>
      <c r="I29" s="54">
        <f>'投资估算表修编（底稿）'!H91</f>
        <v>2.24</v>
      </c>
      <c r="J29" s="184" t="s">
        <v>92</v>
      </c>
    </row>
    <row r="30" ht="27" customHeight="1" spans="4:24">
      <c r="D30" s="54">
        <v>10</v>
      </c>
      <c r="E30" s="57" t="s">
        <v>93</v>
      </c>
      <c r="F30" s="183" t="s">
        <v>94</v>
      </c>
      <c r="G30" s="156"/>
      <c r="H30" s="156"/>
      <c r="I30" s="54">
        <f>'投资估算表修编（底稿）'!H92</f>
        <v>11.69</v>
      </c>
      <c r="J30" s="184" t="s">
        <v>95</v>
      </c>
      <c r="R30" s="185" t="s">
        <v>96</v>
      </c>
    </row>
    <row r="31" ht="17.25" customHeight="1" spans="4:24">
      <c r="D31" s="54">
        <v>11</v>
      </c>
      <c r="E31" s="57" t="s">
        <v>97</v>
      </c>
      <c r="F31" s="183" t="s">
        <v>98</v>
      </c>
      <c r="G31" s="156"/>
      <c r="H31" s="156"/>
      <c r="I31" s="54">
        <f>'投资估算表修编（底稿）'!H93</f>
        <v>4.44</v>
      </c>
      <c r="J31" s="184" t="s">
        <v>99</v>
      </c>
    </row>
    <row r="32" ht="17.25" customHeight="1" spans="4:24">
      <c r="D32" s="54">
        <v>12</v>
      </c>
      <c r="E32" s="57" t="s">
        <v>100</v>
      </c>
      <c r="F32" s="183" t="s">
        <v>85</v>
      </c>
      <c r="G32" s="156"/>
      <c r="H32" s="156"/>
      <c r="I32" s="54">
        <f>'投资估算表修编（底稿）'!H94</f>
        <v>14.81</v>
      </c>
      <c r="J32" s="184" t="s">
        <v>86</v>
      </c>
    </row>
    <row r="33" ht="17.25" customHeight="1" spans="4:10">
      <c r="D33" s="54">
        <v>13</v>
      </c>
      <c r="E33" s="57" t="s">
        <v>101</v>
      </c>
      <c r="F33" s="186" t="s">
        <v>102</v>
      </c>
      <c r="G33" s="187"/>
      <c r="H33" s="187"/>
      <c r="I33" s="54">
        <f>'投资估算表修编（底稿）'!H95</f>
        <v>5.92</v>
      </c>
      <c r="J33" s="184" t="s">
        <v>103</v>
      </c>
    </row>
    <row r="34" ht="17.25" customHeight="1" spans="4:10">
      <c r="D34" s="54">
        <v>14</v>
      </c>
      <c r="E34" s="57" t="s">
        <v>104</v>
      </c>
      <c r="F34" s="183" t="s">
        <v>105</v>
      </c>
      <c r="G34" s="156"/>
      <c r="H34" s="156"/>
      <c r="I34" s="54">
        <f>'投资估算表修编（底稿）'!H96</f>
        <v>42.87</v>
      </c>
      <c r="J34" s="184">
        <v>42.87</v>
      </c>
    </row>
    <row r="35" ht="17.25" customHeight="1" spans="4:10">
      <c r="D35" s="54">
        <v>15</v>
      </c>
      <c r="E35" s="57" t="s">
        <v>106</v>
      </c>
      <c r="F35" s="183" t="s">
        <v>107</v>
      </c>
      <c r="G35" s="156"/>
      <c r="H35" s="156"/>
      <c r="I35" s="54">
        <f>'投资估算表修编（底稿）'!H97</f>
        <v>26.29</v>
      </c>
      <c r="J35" s="184" t="s">
        <v>108</v>
      </c>
    </row>
    <row r="36" ht="33" customHeight="1" spans="4:10">
      <c r="D36" s="54">
        <v>16</v>
      </c>
      <c r="E36" s="57" t="s">
        <v>109</v>
      </c>
      <c r="F36" s="183" t="s">
        <v>110</v>
      </c>
      <c r="G36" s="156"/>
      <c r="H36" s="156"/>
      <c r="I36" s="54">
        <f>'投资估算表修编（底稿）'!H98</f>
        <v>5.44</v>
      </c>
      <c r="J36" s="184" t="s">
        <v>111</v>
      </c>
    </row>
    <row r="37" ht="60.75" customHeight="1" spans="4:10">
      <c r="D37" s="54">
        <v>17</v>
      </c>
      <c r="E37" s="57" t="s">
        <v>112</v>
      </c>
      <c r="F37" s="183" t="s">
        <v>113</v>
      </c>
      <c r="G37" s="156"/>
      <c r="H37" s="156"/>
      <c r="I37" s="54">
        <f>'投资估算表修编（底稿）'!H99</f>
        <v>5.22</v>
      </c>
      <c r="J37" s="184" t="s">
        <v>114</v>
      </c>
    </row>
    <row r="38" ht="17.25" customHeight="1" spans="4:10">
      <c r="D38" s="54">
        <v>19</v>
      </c>
      <c r="E38" s="57" t="s">
        <v>115</v>
      </c>
      <c r="F38" s="183" t="s">
        <v>116</v>
      </c>
      <c r="G38" s="156"/>
      <c r="H38" s="156"/>
      <c r="I38" s="54">
        <v>15</v>
      </c>
      <c r="J38" s="54">
        <v>15</v>
      </c>
    </row>
  </sheetData>
  <mergeCells count="34">
    <mergeCell ref="D5:J5"/>
    <mergeCell ref="F6:H6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M1:M6"/>
    <mergeCell ref="N1:N6"/>
    <mergeCell ref="O1:O6"/>
    <mergeCell ref="P1:P6"/>
    <mergeCell ref="P17:P18"/>
    <mergeCell ref="Q1:Q6"/>
    <mergeCell ref="Q17:Q18"/>
    <mergeCell ref="R1:R6"/>
    <mergeCell ref="R17:R18"/>
    <mergeCell ref="S7:S8"/>
    <mergeCell ref="S17:S18"/>
    <mergeCell ref="T17:T18"/>
    <mergeCell ref="U17:U18"/>
    <mergeCell ref="V17:V18"/>
    <mergeCell ref="W17:W18"/>
    <mergeCell ref="X17:X18"/>
  </mergeCells>
  <hyperlinks>
    <hyperlink ref="R30" r:id="rId1" display="http://www.wp.gov.cn/zwgk/zfxxgk/zfxxgkml/14/202203/t20220317_1880932.ht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Q112"/>
  <sheetViews>
    <sheetView topLeftCell="A40" workbookViewId="0">
      <selection activeCell="A7" sqref="$A7:$XFD7"/>
    </sheetView>
  </sheetViews>
  <sheetFormatPr defaultColWidth="9" defaultRowHeight="13.5"/>
  <cols>
    <col min="2" max="2" width="7.44166666666667" customWidth="1"/>
    <col min="3" max="3" width="29.1083333333333" customWidth="1"/>
    <col min="4" max="5" width="10.6666666666667" customWidth="1"/>
    <col min="6" max="6" width="10.775" customWidth="1"/>
    <col min="7" max="7" width="11.3333333333333" customWidth="1"/>
    <col min="8" max="8" width="11.775" customWidth="1"/>
    <col min="9" max="9" width="7.21666666666667" customWidth="1"/>
    <col min="11" max="11" width="12" customWidth="1"/>
    <col min="12" max="12" width="8.21666666666667" customWidth="1"/>
    <col min="13" max="14" width="7.33333333333333" customWidth="1"/>
    <col min="16" max="16" width="9.44166666666667" customWidth="1"/>
    <col min="17" max="17" width="10.4416666666667" customWidth="1"/>
  </cols>
  <sheetData>
    <row r="3" ht="21.75" customHeight="1" spans="2:17">
      <c r="B3" s="84" t="s">
        <v>117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ht="21.75" customHeight="1" spans="2:17">
      <c r="B4" s="17" t="s">
        <v>118</v>
      </c>
      <c r="C4" s="17" t="s">
        <v>119</v>
      </c>
      <c r="D4" s="17" t="s">
        <v>120</v>
      </c>
      <c r="E4" s="17"/>
      <c r="F4" s="17"/>
      <c r="G4" s="17"/>
      <c r="H4" s="17"/>
      <c r="I4" s="17" t="s">
        <v>121</v>
      </c>
      <c r="J4" s="17"/>
      <c r="K4" s="17"/>
      <c r="L4" s="87" t="s">
        <v>122</v>
      </c>
      <c r="M4" s="17" t="s">
        <v>123</v>
      </c>
      <c r="N4" s="88"/>
    </row>
    <row r="5" ht="34.5" customHeight="1" spans="2:17">
      <c r="B5" s="17"/>
      <c r="C5" s="17"/>
      <c r="D5" s="17" t="s">
        <v>124</v>
      </c>
      <c r="E5" s="17" t="s">
        <v>125</v>
      </c>
      <c r="F5" s="87" t="s">
        <v>126</v>
      </c>
      <c r="G5" s="89" t="s">
        <v>127</v>
      </c>
      <c r="H5" s="89" t="s">
        <v>128</v>
      </c>
      <c r="I5" s="17" t="s">
        <v>129</v>
      </c>
      <c r="J5" s="17" t="s">
        <v>130</v>
      </c>
      <c r="K5" s="87" t="s">
        <v>131</v>
      </c>
      <c r="L5" s="87"/>
      <c r="M5" s="17"/>
      <c r="N5" s="88"/>
    </row>
    <row r="6" s="83" customFormat="1" ht="18.75" customHeight="1" spans="2:17">
      <c r="B6" s="90" t="s">
        <v>132</v>
      </c>
      <c r="C6" s="91" t="s">
        <v>133</v>
      </c>
      <c r="D6" s="92">
        <f>D7</f>
        <v>1481.11</v>
      </c>
      <c r="E6" s="92">
        <f t="shared" ref="E6:J6" si="0">E7</f>
        <v>0</v>
      </c>
      <c r="F6" s="92">
        <f t="shared" si="0"/>
        <v>0</v>
      </c>
      <c r="G6" s="92">
        <f t="shared" si="0"/>
        <v>0</v>
      </c>
      <c r="H6" s="92">
        <f t="shared" si="0"/>
        <v>1481.11</v>
      </c>
      <c r="I6" s="93" t="s">
        <v>134</v>
      </c>
      <c r="J6" s="92">
        <f t="shared" si="0"/>
        <v>0.45</v>
      </c>
      <c r="K6" s="94">
        <f>H6/J6*10000</f>
        <v>32913555.5555556</v>
      </c>
      <c r="L6" s="95"/>
      <c r="M6" s="96"/>
      <c r="N6" s="97"/>
    </row>
    <row r="7" ht="20.25" customHeight="1" spans="2:17">
      <c r="B7" s="93">
        <v>1.1</v>
      </c>
      <c r="C7" s="91" t="s">
        <v>135</v>
      </c>
      <c r="D7" s="98">
        <f>D8+D23+D28+D38+D41+D44+D48+D54+D58+D62+D66+D68</f>
        <v>1481.11</v>
      </c>
      <c r="E7" s="98">
        <f t="shared" ref="E7:H7" si="1">E8+E23+E28+E38+E41+E44+E48+E54+E58+E62+E66+E68</f>
        <v>0</v>
      </c>
      <c r="F7" s="98">
        <f t="shared" si="1"/>
        <v>0</v>
      </c>
      <c r="G7" s="98">
        <f t="shared" si="1"/>
        <v>0</v>
      </c>
      <c r="H7" s="98">
        <f t="shared" si="1"/>
        <v>1481.11</v>
      </c>
      <c r="I7" s="93" t="str">
        <f>I8</f>
        <v>km</v>
      </c>
      <c r="J7" s="93">
        <f>J8</f>
        <v>0.45</v>
      </c>
      <c r="K7" s="94">
        <f>H7/J7*10000</f>
        <v>32913555.5555556</v>
      </c>
      <c r="L7" s="93"/>
      <c r="M7" s="96"/>
      <c r="N7" s="97"/>
    </row>
    <row r="8" ht="15.75" customHeight="1" spans="2:17">
      <c r="B8" s="99" t="s">
        <v>136</v>
      </c>
      <c r="C8" s="100" t="s">
        <v>137</v>
      </c>
      <c r="D8" s="101">
        <f>SUM(D9:D22)</f>
        <v>798.63</v>
      </c>
      <c r="E8" s="101"/>
      <c r="F8" s="101"/>
      <c r="G8" s="102"/>
      <c r="H8" s="101">
        <f>SUM(H9:H22)</f>
        <v>798.63</v>
      </c>
      <c r="I8" s="103" t="s">
        <v>134</v>
      </c>
      <c r="J8" s="104">
        <v>0.45</v>
      </c>
      <c r="K8" s="105">
        <f>H8/J8*10000</f>
        <v>17747333.3333333</v>
      </c>
      <c r="L8" s="106"/>
      <c r="M8" s="107"/>
      <c r="N8" s="108"/>
      <c r="Q8" s="109"/>
    </row>
    <row r="9" ht="15.75" customHeight="1" spans="2:17">
      <c r="B9" s="33">
        <v>1</v>
      </c>
      <c r="C9" s="110" t="s">
        <v>138</v>
      </c>
      <c r="D9" s="111">
        <f>ROUND(J9*K9/10000,2)</f>
        <v>7.48</v>
      </c>
      <c r="E9" s="112"/>
      <c r="F9" s="112"/>
      <c r="G9" s="113"/>
      <c r="H9" s="113">
        <f>SUM(D9:G9)</f>
        <v>7.48</v>
      </c>
      <c r="I9" s="112" t="s">
        <v>139</v>
      </c>
      <c r="J9" s="112">
        <v>2355</v>
      </c>
      <c r="K9" s="114">
        <f>3.61+28.17</f>
        <v>31.78</v>
      </c>
      <c r="L9" s="33"/>
      <c r="M9" s="87"/>
      <c r="N9" s="108"/>
    </row>
    <row r="10" ht="15.75" customHeight="1" spans="2:17">
      <c r="B10" s="21">
        <v>2</v>
      </c>
      <c r="C10" s="110" t="s">
        <v>140</v>
      </c>
      <c r="D10" s="111">
        <f t="shared" ref="D10:D20" si="2">ROUND(J10*K10/10000,2)</f>
        <v>54.47</v>
      </c>
      <c r="E10" s="115"/>
      <c r="F10" s="115"/>
      <c r="G10" s="116"/>
      <c r="H10" s="113">
        <f t="shared" ref="H10:H21" si="3">SUM(D10:G10)</f>
        <v>54.47</v>
      </c>
      <c r="I10" s="116" t="s">
        <v>139</v>
      </c>
      <c r="J10" s="112">
        <f>9202+4132</f>
        <v>13334</v>
      </c>
      <c r="K10" s="117">
        <v>40.85</v>
      </c>
      <c r="L10" s="21"/>
      <c r="M10" s="87"/>
      <c r="N10" s="108"/>
      <c r="P10" s="109"/>
    </row>
    <row r="11" ht="15.75" customHeight="1" spans="2:17">
      <c r="B11" s="33">
        <v>3</v>
      </c>
      <c r="C11" s="110" t="s">
        <v>141</v>
      </c>
      <c r="D11" s="111">
        <f t="shared" si="2"/>
        <v>0.38</v>
      </c>
      <c r="E11" s="115"/>
      <c r="F11" s="115"/>
      <c r="G11" s="116"/>
      <c r="H11" s="113">
        <f t="shared" si="3"/>
        <v>0.38</v>
      </c>
      <c r="I11" s="116" t="s">
        <v>139</v>
      </c>
      <c r="J11" s="112">
        <v>286</v>
      </c>
      <c r="K11" s="117">
        <f>4.04+9.32</f>
        <v>13.36</v>
      </c>
      <c r="L11" s="21"/>
      <c r="M11" s="87"/>
      <c r="N11" s="108"/>
    </row>
    <row r="12" ht="15.75" customHeight="1" spans="2:17">
      <c r="B12" s="21">
        <v>4</v>
      </c>
      <c r="C12" s="110" t="s">
        <v>142</v>
      </c>
      <c r="D12" s="111">
        <f t="shared" si="2"/>
        <v>69.48</v>
      </c>
      <c r="E12" s="115"/>
      <c r="F12" s="115"/>
      <c r="G12" s="116"/>
      <c r="H12" s="113">
        <f t="shared" si="3"/>
        <v>69.48</v>
      </c>
      <c r="I12" s="116" t="s">
        <v>139</v>
      </c>
      <c r="J12" s="112">
        <v>2886</v>
      </c>
      <c r="K12" s="117">
        <f>51.6+189.15</f>
        <v>240.75</v>
      </c>
      <c r="L12" s="21"/>
      <c r="M12" s="87"/>
      <c r="N12" s="118"/>
    </row>
    <row r="13" ht="15.75" customHeight="1" spans="2:17">
      <c r="B13" s="33">
        <v>5</v>
      </c>
      <c r="C13" s="110" t="s">
        <v>143</v>
      </c>
      <c r="D13" s="111">
        <f t="shared" si="2"/>
        <v>24.74</v>
      </c>
      <c r="E13" s="21"/>
      <c r="F13" s="21"/>
      <c r="G13" s="119"/>
      <c r="H13" s="120">
        <f t="shared" si="3"/>
        <v>24.74</v>
      </c>
      <c r="I13" s="119" t="s">
        <v>144</v>
      </c>
      <c r="J13" s="33">
        <v>2734</v>
      </c>
      <c r="K13" s="121">
        <v>90.48</v>
      </c>
      <c r="L13" s="21"/>
      <c r="M13" s="87"/>
      <c r="N13" s="108"/>
    </row>
    <row r="14" ht="15.75" customHeight="1" spans="2:17">
      <c r="B14" s="21">
        <v>6</v>
      </c>
      <c r="C14" s="110" t="s">
        <v>145</v>
      </c>
      <c r="D14" s="111">
        <f t="shared" si="2"/>
        <v>0</v>
      </c>
      <c r="E14" s="21"/>
      <c r="F14" s="21"/>
      <c r="G14" s="119"/>
      <c r="H14" s="120">
        <f t="shared" si="3"/>
        <v>0</v>
      </c>
      <c r="I14" s="119" t="s">
        <v>144</v>
      </c>
      <c r="J14" s="33">
        <v>0</v>
      </c>
      <c r="K14" s="121">
        <v>41.65</v>
      </c>
      <c r="L14" s="21"/>
      <c r="M14" s="87"/>
      <c r="N14" s="108"/>
    </row>
    <row r="15" ht="15.75" customHeight="1" spans="2:17">
      <c r="B15" s="33">
        <v>7</v>
      </c>
      <c r="C15" s="110" t="s">
        <v>146</v>
      </c>
      <c r="D15" s="111">
        <f t="shared" si="2"/>
        <v>3.06</v>
      </c>
      <c r="E15" s="21"/>
      <c r="F15" s="21"/>
      <c r="G15" s="119"/>
      <c r="H15" s="120">
        <f t="shared" si="3"/>
        <v>3.06</v>
      </c>
      <c r="I15" s="119" t="s">
        <v>144</v>
      </c>
      <c r="J15" s="33">
        <v>800</v>
      </c>
      <c r="K15" s="121">
        <v>38.22</v>
      </c>
      <c r="L15" s="21"/>
      <c r="M15" s="87"/>
      <c r="N15" s="108"/>
    </row>
    <row r="16" ht="15.75" customHeight="1" spans="2:17">
      <c r="B16" s="21">
        <v>8</v>
      </c>
      <c r="C16" s="110" t="s">
        <v>147</v>
      </c>
      <c r="D16" s="111">
        <f t="shared" si="2"/>
        <v>0</v>
      </c>
      <c r="E16" s="21"/>
      <c r="F16" s="21"/>
      <c r="G16" s="119"/>
      <c r="H16" s="120">
        <f t="shared" si="3"/>
        <v>0</v>
      </c>
      <c r="I16" s="119" t="s">
        <v>139</v>
      </c>
      <c r="J16" s="33">
        <v>0</v>
      </c>
      <c r="K16" s="121">
        <v>167.77</v>
      </c>
      <c r="L16" s="21"/>
      <c r="M16" s="87"/>
      <c r="N16" s="108"/>
    </row>
    <row r="17" ht="15.75" customHeight="1" spans="2:14">
      <c r="B17" s="33">
        <v>9</v>
      </c>
      <c r="C17" s="122" t="s">
        <v>148</v>
      </c>
      <c r="D17" s="111">
        <f t="shared" si="2"/>
        <v>133.36</v>
      </c>
      <c r="E17" s="21"/>
      <c r="F17" s="21"/>
      <c r="G17" s="119"/>
      <c r="H17" s="120">
        <f t="shared" si="3"/>
        <v>133.36</v>
      </c>
      <c r="I17" s="119" t="s">
        <v>139</v>
      </c>
      <c r="J17" s="33">
        <v>5165</v>
      </c>
      <c r="K17" s="121">
        <v>258.19</v>
      </c>
      <c r="L17" s="21"/>
      <c r="M17" s="87"/>
      <c r="N17" s="108"/>
    </row>
    <row r="18" ht="15.75" customHeight="1" spans="2:14">
      <c r="B18" s="21">
        <v>10</v>
      </c>
      <c r="C18" s="122" t="s">
        <v>149</v>
      </c>
      <c r="D18" s="111">
        <f t="shared" si="2"/>
        <v>27.16</v>
      </c>
      <c r="E18" s="21"/>
      <c r="F18" s="21"/>
      <c r="G18" s="119"/>
      <c r="H18" s="120">
        <f t="shared" si="3"/>
        <v>27.16</v>
      </c>
      <c r="I18" s="119" t="s">
        <v>144</v>
      </c>
      <c r="J18" s="33">
        <v>11914</v>
      </c>
      <c r="K18" s="121">
        <v>22.8</v>
      </c>
      <c r="L18" s="21"/>
      <c r="M18" s="87"/>
      <c r="N18" s="108"/>
    </row>
    <row r="19" ht="15.75" customHeight="1" spans="2:14">
      <c r="B19" s="33">
        <v>11</v>
      </c>
      <c r="C19" s="110" t="s">
        <v>150</v>
      </c>
      <c r="D19" s="111">
        <f t="shared" si="2"/>
        <v>453.09</v>
      </c>
      <c r="E19" s="21"/>
      <c r="F19" s="21"/>
      <c r="G19" s="119"/>
      <c r="H19" s="120">
        <f t="shared" si="3"/>
        <v>453.09</v>
      </c>
      <c r="I19" s="15" t="s">
        <v>63</v>
      </c>
      <c r="J19" s="121">
        <v>79560</v>
      </c>
      <c r="K19" s="121">
        <v>56.95</v>
      </c>
      <c r="L19" s="21"/>
      <c r="M19" s="87"/>
      <c r="N19" s="123"/>
    </row>
    <row r="20" ht="15.75" customHeight="1" spans="2:14">
      <c r="B20" s="21">
        <v>12</v>
      </c>
      <c r="C20" s="16" t="s">
        <v>151</v>
      </c>
      <c r="D20" s="111">
        <f t="shared" si="2"/>
        <v>25.41</v>
      </c>
      <c r="E20" s="21"/>
      <c r="F20" s="21"/>
      <c r="G20" s="119"/>
      <c r="H20" s="120">
        <f t="shared" si="3"/>
        <v>25.41</v>
      </c>
      <c r="I20" s="119" t="s">
        <v>139</v>
      </c>
      <c r="J20" s="33">
        <v>6198</v>
      </c>
      <c r="K20" s="54">
        <v>41</v>
      </c>
      <c r="L20" s="21"/>
      <c r="M20" s="87"/>
      <c r="N20" s="108"/>
    </row>
    <row r="21" ht="15.75" customHeight="1" spans="2:14">
      <c r="B21" s="21">
        <v>13</v>
      </c>
      <c r="C21" s="16" t="s">
        <v>152</v>
      </c>
      <c r="D21" s="111"/>
      <c r="E21" s="21"/>
      <c r="F21" s="21"/>
      <c r="G21" s="119"/>
      <c r="H21" s="120">
        <f t="shared" si="3"/>
        <v>0</v>
      </c>
      <c r="I21" s="15" t="s">
        <v>63</v>
      </c>
      <c r="J21" s="33">
        <v>0</v>
      </c>
      <c r="K21" s="54">
        <v>103.6</v>
      </c>
      <c r="L21" s="21"/>
      <c r="M21" s="87"/>
      <c r="N21" s="108"/>
    </row>
    <row r="22" ht="15.75" customHeight="1" spans="2:14">
      <c r="B22" s="33">
        <v>13</v>
      </c>
      <c r="C22" s="122" t="s">
        <v>153</v>
      </c>
      <c r="D22" s="124">
        <f t="shared" ref="D22:D27" si="4">ROUND(J22*K22/10000,2)</f>
        <v>0</v>
      </c>
      <c r="E22" s="21"/>
      <c r="F22" s="21"/>
      <c r="G22" s="119"/>
      <c r="H22" s="120">
        <f t="shared" ref="H22:H27" si="5">SUM(D22:G22)</f>
        <v>0</v>
      </c>
      <c r="I22" s="119" t="s">
        <v>154</v>
      </c>
      <c r="J22" s="33">
        <v>0</v>
      </c>
      <c r="K22" s="125">
        <v>7474.25</v>
      </c>
      <c r="L22" s="21"/>
      <c r="M22" s="87"/>
      <c r="N22" s="108"/>
    </row>
    <row r="23" ht="15.75" customHeight="1" spans="2:14">
      <c r="B23" s="126" t="s">
        <v>155</v>
      </c>
      <c r="C23" s="127" t="s">
        <v>156</v>
      </c>
      <c r="D23" s="128">
        <f>SUM(D24:D27)</f>
        <v>284.7</v>
      </c>
      <c r="E23" s="126"/>
      <c r="F23" s="126"/>
      <c r="G23" s="129"/>
      <c r="H23" s="128">
        <f>SUM(H24:H27)</f>
        <v>284.7</v>
      </c>
      <c r="I23" s="130" t="s">
        <v>144</v>
      </c>
      <c r="J23" s="131">
        <f>J24+J25</f>
        <v>8884</v>
      </c>
      <c r="K23" s="131">
        <f>H23*10000/J23</f>
        <v>320.463755065286</v>
      </c>
      <c r="L23" s="126"/>
      <c r="M23" s="107"/>
      <c r="N23" s="108"/>
    </row>
    <row r="24" ht="15.75" customHeight="1" spans="2:14">
      <c r="B24" s="126">
        <v>1</v>
      </c>
      <c r="C24" s="132" t="s">
        <v>157</v>
      </c>
      <c r="D24" s="133">
        <f t="shared" si="4"/>
        <v>200.12</v>
      </c>
      <c r="E24" s="126"/>
      <c r="F24" s="126"/>
      <c r="G24" s="129"/>
      <c r="H24" s="134">
        <f t="shared" si="5"/>
        <v>200.12</v>
      </c>
      <c r="I24" s="129" t="s">
        <v>144</v>
      </c>
      <c r="J24" s="104">
        <v>6048</v>
      </c>
      <c r="K24" s="131">
        <v>330.88</v>
      </c>
      <c r="L24" s="126"/>
      <c r="M24" s="107"/>
      <c r="N24" s="108"/>
    </row>
    <row r="25" ht="15.75" customHeight="1" spans="2:14">
      <c r="B25" s="99">
        <v>2</v>
      </c>
      <c r="C25" s="100" t="s">
        <v>158</v>
      </c>
      <c r="D25" s="133">
        <f t="shared" si="4"/>
        <v>60.75</v>
      </c>
      <c r="E25" s="101"/>
      <c r="F25" s="101"/>
      <c r="G25" s="102"/>
      <c r="H25" s="134">
        <f t="shared" si="5"/>
        <v>60.75</v>
      </c>
      <c r="I25" s="103" t="s">
        <v>144</v>
      </c>
      <c r="J25" s="104">
        <v>2836</v>
      </c>
      <c r="K25" s="135">
        <v>214.2</v>
      </c>
      <c r="L25" s="106"/>
      <c r="M25" s="107"/>
      <c r="N25" s="108"/>
    </row>
    <row r="26" ht="15.75" customHeight="1" spans="2:14">
      <c r="B26" s="104">
        <v>3</v>
      </c>
      <c r="C26" s="136" t="s">
        <v>159</v>
      </c>
      <c r="D26" s="133">
        <f t="shared" si="4"/>
        <v>11.49</v>
      </c>
      <c r="E26" s="104"/>
      <c r="F26" s="104"/>
      <c r="G26" s="134"/>
      <c r="H26" s="134">
        <f t="shared" si="5"/>
        <v>11.49</v>
      </c>
      <c r="I26" s="104" t="s">
        <v>63</v>
      </c>
      <c r="J26" s="104">
        <v>780</v>
      </c>
      <c r="K26" s="137">
        <v>147.35</v>
      </c>
      <c r="L26" s="104"/>
      <c r="M26" s="107"/>
      <c r="N26" s="108"/>
    </row>
    <row r="27" ht="15.75" customHeight="1" spans="2:14">
      <c r="B27" s="104">
        <v>4</v>
      </c>
      <c r="C27" s="136" t="s">
        <v>160</v>
      </c>
      <c r="D27" s="133">
        <f t="shared" si="4"/>
        <v>12.34</v>
      </c>
      <c r="E27" s="104"/>
      <c r="F27" s="104"/>
      <c r="G27" s="134"/>
      <c r="H27" s="134">
        <f t="shared" si="5"/>
        <v>12.34</v>
      </c>
      <c r="I27" s="104" t="s">
        <v>63</v>
      </c>
      <c r="J27" s="104">
        <v>1365</v>
      </c>
      <c r="K27" s="137">
        <v>90.38</v>
      </c>
      <c r="L27" s="104"/>
      <c r="M27" s="107"/>
      <c r="N27" s="108"/>
    </row>
    <row r="28" ht="15.75" customHeight="1" spans="2:14">
      <c r="B28" s="126" t="s">
        <v>161</v>
      </c>
      <c r="C28" s="132" t="s">
        <v>162</v>
      </c>
      <c r="D28" s="128">
        <f>SUM(D29:D37)</f>
        <v>45.45</v>
      </c>
      <c r="E28" s="126"/>
      <c r="F28" s="126"/>
      <c r="G28" s="129"/>
      <c r="H28" s="128">
        <f>SUM(H29:H37)</f>
        <v>45.45</v>
      </c>
      <c r="I28" s="129" t="s">
        <v>134</v>
      </c>
      <c r="J28" s="104">
        <v>0.58</v>
      </c>
      <c r="K28" s="105">
        <f>H28/J28*10000</f>
        <v>783620.689655173</v>
      </c>
      <c r="L28" s="126"/>
      <c r="M28" s="107"/>
      <c r="N28" s="108"/>
    </row>
    <row r="29" ht="15.75" customHeight="1" spans="2:14">
      <c r="B29" s="126">
        <v>1</v>
      </c>
      <c r="C29" s="132" t="s">
        <v>163</v>
      </c>
      <c r="D29" s="133">
        <f t="shared" ref="D29:D37" si="6">ROUND(J29*K29/10000,2)</f>
        <v>1.72</v>
      </c>
      <c r="E29" s="126"/>
      <c r="F29" s="126"/>
      <c r="G29" s="129"/>
      <c r="H29" s="134">
        <f t="shared" ref="H29:H37" si="7">SUM(D29:G29)</f>
        <v>1.72</v>
      </c>
      <c r="I29" s="129" t="s">
        <v>144</v>
      </c>
      <c r="J29" s="104">
        <v>235</v>
      </c>
      <c r="K29" s="131">
        <v>73.06</v>
      </c>
      <c r="L29" s="126"/>
      <c r="M29" s="107"/>
      <c r="N29" s="108"/>
    </row>
    <row r="30" ht="15.75" customHeight="1" spans="2:14">
      <c r="B30" s="126">
        <v>2</v>
      </c>
      <c r="C30" s="132" t="s">
        <v>164</v>
      </c>
      <c r="D30" s="133">
        <f t="shared" si="6"/>
        <v>1.88</v>
      </c>
      <c r="E30" s="126"/>
      <c r="F30" s="126"/>
      <c r="G30" s="129"/>
      <c r="H30" s="134">
        <f t="shared" si="7"/>
        <v>1.88</v>
      </c>
      <c r="I30" s="129" t="s">
        <v>165</v>
      </c>
      <c r="J30" s="104">
        <v>8</v>
      </c>
      <c r="K30" s="131">
        <f>1165.75+1185.55</f>
        <v>2351.3</v>
      </c>
      <c r="L30" s="126"/>
      <c r="M30" s="107"/>
      <c r="N30" s="108"/>
    </row>
    <row r="31" ht="15.75" customHeight="1" spans="2:14">
      <c r="B31" s="126">
        <v>3</v>
      </c>
      <c r="C31" s="132" t="s">
        <v>166</v>
      </c>
      <c r="D31" s="133">
        <f t="shared" si="6"/>
        <v>8.79</v>
      </c>
      <c r="E31" s="126"/>
      <c r="F31" s="126"/>
      <c r="G31" s="129"/>
      <c r="H31" s="134">
        <f t="shared" si="7"/>
        <v>8.79</v>
      </c>
      <c r="I31" s="129" t="s">
        <v>165</v>
      </c>
      <c r="J31" s="104">
        <v>2</v>
      </c>
      <c r="K31" s="131">
        <f>8733.22+35216.29</f>
        <v>43949.51</v>
      </c>
      <c r="L31" s="126"/>
      <c r="M31" s="107"/>
      <c r="N31" s="108">
        <f>19.2994/0.45</f>
        <v>42.8875555555556</v>
      </c>
    </row>
    <row r="32" ht="15.75" customHeight="1" spans="2:14">
      <c r="B32" s="126">
        <v>4</v>
      </c>
      <c r="C32" s="132" t="s">
        <v>167</v>
      </c>
      <c r="D32" s="133">
        <f t="shared" si="6"/>
        <v>4.78</v>
      </c>
      <c r="E32" s="126"/>
      <c r="F32" s="126"/>
      <c r="G32" s="129"/>
      <c r="H32" s="134">
        <f t="shared" si="7"/>
        <v>4.78</v>
      </c>
      <c r="I32" s="129" t="s">
        <v>168</v>
      </c>
      <c r="J32" s="104">
        <v>3</v>
      </c>
      <c r="K32" s="131">
        <f>13026.35+2891.16</f>
        <v>15917.51</v>
      </c>
      <c r="L32" s="126"/>
      <c r="M32" s="107"/>
      <c r="N32" s="108"/>
    </row>
    <row r="33" ht="15.75" customHeight="1" spans="2:14">
      <c r="B33" s="126">
        <v>5</v>
      </c>
      <c r="C33" s="132" t="s">
        <v>169</v>
      </c>
      <c r="D33" s="133">
        <f t="shared" si="6"/>
        <v>2.14</v>
      </c>
      <c r="E33" s="126"/>
      <c r="F33" s="126"/>
      <c r="G33" s="129"/>
      <c r="H33" s="134">
        <f t="shared" si="7"/>
        <v>2.14</v>
      </c>
      <c r="I33" s="129" t="s">
        <v>168</v>
      </c>
      <c r="J33" s="104">
        <v>6</v>
      </c>
      <c r="K33" s="131">
        <f>1107.07+2453.43</f>
        <v>3560.5</v>
      </c>
      <c r="L33" s="126"/>
      <c r="M33" s="107"/>
      <c r="N33" s="108"/>
    </row>
    <row r="34" ht="15.75" customHeight="1" spans="2:14">
      <c r="B34" s="126">
        <v>6</v>
      </c>
      <c r="C34" s="132" t="s">
        <v>170</v>
      </c>
      <c r="D34" s="133">
        <f t="shared" si="6"/>
        <v>4</v>
      </c>
      <c r="E34" s="126"/>
      <c r="F34" s="126"/>
      <c r="G34" s="129"/>
      <c r="H34" s="134">
        <f t="shared" si="7"/>
        <v>4</v>
      </c>
      <c r="I34" s="129" t="s">
        <v>171</v>
      </c>
      <c r="J34" s="104">
        <v>3</v>
      </c>
      <c r="K34" s="131">
        <v>13321.23</v>
      </c>
      <c r="L34" s="126"/>
      <c r="M34" s="107"/>
      <c r="N34" s="108"/>
    </row>
    <row r="35" ht="15.75" customHeight="1" spans="2:14">
      <c r="B35" s="126">
        <v>7</v>
      </c>
      <c r="C35" s="132" t="s">
        <v>172</v>
      </c>
      <c r="D35" s="133">
        <f t="shared" si="6"/>
        <v>11</v>
      </c>
      <c r="E35" s="126"/>
      <c r="F35" s="126"/>
      <c r="G35" s="129"/>
      <c r="H35" s="134">
        <f t="shared" si="7"/>
        <v>11</v>
      </c>
      <c r="I35" s="104" t="s">
        <v>63</v>
      </c>
      <c r="J35" s="104">
        <v>440</v>
      </c>
      <c r="K35" s="131">
        <v>250</v>
      </c>
      <c r="L35" s="126"/>
      <c r="M35" s="107"/>
      <c r="N35" s="108"/>
    </row>
    <row r="36" ht="15.75" customHeight="1" spans="2:14">
      <c r="B36" s="126">
        <v>8</v>
      </c>
      <c r="C36" s="132" t="s">
        <v>173</v>
      </c>
      <c r="D36" s="133">
        <f t="shared" si="6"/>
        <v>2.09</v>
      </c>
      <c r="E36" s="126"/>
      <c r="F36" s="126"/>
      <c r="G36" s="129"/>
      <c r="H36" s="134">
        <f t="shared" si="7"/>
        <v>2.09</v>
      </c>
      <c r="I36" s="104" t="s">
        <v>63</v>
      </c>
      <c r="J36" s="104">
        <v>110</v>
      </c>
      <c r="K36" s="131">
        <v>190.08</v>
      </c>
      <c r="L36" s="126"/>
      <c r="M36" s="107"/>
      <c r="N36" s="108"/>
    </row>
    <row r="37" ht="15.75" customHeight="1" spans="2:14">
      <c r="B37" s="126">
        <v>9</v>
      </c>
      <c r="C37" s="132" t="s">
        <v>174</v>
      </c>
      <c r="D37" s="133">
        <f t="shared" si="6"/>
        <v>9.05</v>
      </c>
      <c r="E37" s="126"/>
      <c r="F37" s="126"/>
      <c r="G37" s="129"/>
      <c r="H37" s="134">
        <f t="shared" si="7"/>
        <v>9.05</v>
      </c>
      <c r="I37" s="104" t="s">
        <v>63</v>
      </c>
      <c r="J37" s="104">
        <v>400</v>
      </c>
      <c r="K37" s="131">
        <v>226.2</v>
      </c>
      <c r="L37" s="126"/>
      <c r="M37" s="107"/>
      <c r="N37" s="108"/>
    </row>
    <row r="38" ht="15.75" customHeight="1" spans="2:14">
      <c r="B38" s="126" t="s">
        <v>175</v>
      </c>
      <c r="C38" s="132" t="s">
        <v>176</v>
      </c>
      <c r="D38" s="128">
        <f>SUM(D39:D40)</f>
        <v>0</v>
      </c>
      <c r="E38" s="126"/>
      <c r="F38" s="126"/>
      <c r="G38" s="129"/>
      <c r="H38" s="128">
        <f>SUM(H39:H40)</f>
        <v>0</v>
      </c>
      <c r="I38" s="129" t="s">
        <v>134</v>
      </c>
      <c r="J38" s="104">
        <v>0.45</v>
      </c>
      <c r="K38" s="131">
        <f>H38*10000/J38</f>
        <v>0</v>
      </c>
      <c r="L38" s="126"/>
      <c r="M38" s="107"/>
      <c r="N38" s="108"/>
    </row>
    <row r="39" ht="15.75" customHeight="1" spans="2:14">
      <c r="B39" s="126">
        <v>1</v>
      </c>
      <c r="C39" s="132" t="s">
        <v>177</v>
      </c>
      <c r="D39" s="133">
        <f>ROUND(J39*K39/10000,2)</f>
        <v>0</v>
      </c>
      <c r="E39" s="126"/>
      <c r="F39" s="126"/>
      <c r="G39" s="129"/>
      <c r="H39" s="134">
        <f>SUM(D39:G39)</f>
        <v>0</v>
      </c>
      <c r="I39" s="129" t="s">
        <v>63</v>
      </c>
      <c r="J39" s="104">
        <v>0</v>
      </c>
      <c r="K39" s="131"/>
      <c r="L39" s="126"/>
      <c r="M39" s="107"/>
      <c r="N39" s="108">
        <f>178/7</f>
        <v>25.4285714285714</v>
      </c>
    </row>
    <row r="40" ht="15.75" customHeight="1" spans="2:14">
      <c r="B40" s="126">
        <v>2</v>
      </c>
      <c r="C40" s="132" t="s">
        <v>178</v>
      </c>
      <c r="D40" s="133">
        <f>ROUND(J40*K40/10000,2)</f>
        <v>0</v>
      </c>
      <c r="E40" s="126"/>
      <c r="F40" s="126"/>
      <c r="G40" s="129"/>
      <c r="H40" s="134">
        <f t="shared" ref="H40" si="8">SUM(D40:G40)</f>
        <v>0</v>
      </c>
      <c r="I40" s="129" t="s">
        <v>144</v>
      </c>
      <c r="J40" s="104">
        <v>0</v>
      </c>
      <c r="K40" s="131">
        <v>12000</v>
      </c>
      <c r="L40" s="126"/>
      <c r="M40" s="107"/>
      <c r="N40" s="108"/>
    </row>
    <row r="41" ht="15.75" customHeight="1" spans="2:14">
      <c r="B41" s="126" t="s">
        <v>179</v>
      </c>
      <c r="C41" s="127" t="s">
        <v>180</v>
      </c>
      <c r="D41" s="128">
        <f>SUM(D42:D43)</f>
        <v>25.86</v>
      </c>
      <c r="E41" s="126"/>
      <c r="F41" s="126"/>
      <c r="G41" s="129"/>
      <c r="H41" s="128">
        <f>SUM(H42:H43)</f>
        <v>25.86</v>
      </c>
      <c r="I41" s="129" t="s">
        <v>134</v>
      </c>
      <c r="J41" s="104">
        <v>0.45</v>
      </c>
      <c r="K41" s="131">
        <f>H41*10000/J41</f>
        <v>574666.666666667</v>
      </c>
      <c r="L41" s="126"/>
      <c r="M41" s="107"/>
      <c r="N41" s="108"/>
    </row>
    <row r="42" ht="15.75" customHeight="1" spans="2:14">
      <c r="B42" s="126">
        <v>1</v>
      </c>
      <c r="C42" s="127" t="s">
        <v>181</v>
      </c>
      <c r="D42" s="133">
        <f>ROUND(J42*K42/10000,2)</f>
        <v>0</v>
      </c>
      <c r="E42" s="126"/>
      <c r="F42" s="126"/>
      <c r="G42" s="129"/>
      <c r="H42" s="134">
        <f t="shared" ref="H42:H47" si="9">SUM(D42:G42)</f>
        <v>0</v>
      </c>
      <c r="I42" s="129" t="s">
        <v>63</v>
      </c>
      <c r="J42" s="104">
        <v>0</v>
      </c>
      <c r="K42" s="104">
        <v>457.8</v>
      </c>
      <c r="L42" s="126"/>
      <c r="M42" s="107"/>
      <c r="N42" s="108"/>
    </row>
    <row r="43" ht="15.75" customHeight="1" spans="2:14">
      <c r="B43" s="126">
        <v>2</v>
      </c>
      <c r="C43" s="127" t="s">
        <v>182</v>
      </c>
      <c r="D43" s="133">
        <f>ROUND(J43*K43/10000,2)</f>
        <v>25.86</v>
      </c>
      <c r="E43" s="126"/>
      <c r="F43" s="126"/>
      <c r="G43" s="129"/>
      <c r="H43" s="134">
        <f t="shared" si="9"/>
        <v>25.86</v>
      </c>
      <c r="I43" s="129" t="s">
        <v>63</v>
      </c>
      <c r="J43" s="104">
        <v>450</v>
      </c>
      <c r="K43" s="104">
        <v>574.57</v>
      </c>
      <c r="L43" s="126"/>
      <c r="M43" s="107"/>
      <c r="N43" s="108"/>
    </row>
    <row r="44" ht="15.75" customHeight="1" spans="2:14">
      <c r="B44" s="126" t="s">
        <v>183</v>
      </c>
      <c r="C44" s="132" t="s">
        <v>184</v>
      </c>
      <c r="D44" s="128">
        <f>SUM(D46:D47)</f>
        <v>208.65</v>
      </c>
      <c r="E44" s="126"/>
      <c r="F44" s="126"/>
      <c r="G44" s="129"/>
      <c r="H44" s="128">
        <f>SUM(H45:H47)</f>
        <v>208.65</v>
      </c>
      <c r="I44" s="129" t="s">
        <v>134</v>
      </c>
      <c r="J44" s="104">
        <v>0.45</v>
      </c>
      <c r="K44" s="131">
        <f>H44*10000/J44</f>
        <v>4636666.66666667</v>
      </c>
      <c r="L44" s="126"/>
      <c r="M44" s="107"/>
      <c r="N44" s="108"/>
    </row>
    <row r="45" ht="15.75" customHeight="1" spans="2:14">
      <c r="B45" s="126">
        <v>1</v>
      </c>
      <c r="C45" s="132" t="s">
        <v>185</v>
      </c>
      <c r="D45" s="128"/>
      <c r="E45" s="126"/>
      <c r="F45" s="126"/>
      <c r="G45" s="129"/>
      <c r="H45" s="134">
        <f t="shared" si="9"/>
        <v>0</v>
      </c>
      <c r="I45" s="129" t="s">
        <v>63</v>
      </c>
      <c r="J45" s="104"/>
      <c r="K45" s="131">
        <v>1929.35</v>
      </c>
      <c r="L45" s="126"/>
      <c r="M45" s="107"/>
      <c r="N45" s="108">
        <f>868208/450</f>
        <v>1929.35111111111</v>
      </c>
    </row>
    <row r="46" ht="15.75" customHeight="1" spans="2:14">
      <c r="B46" s="126">
        <v>1</v>
      </c>
      <c r="C46" s="132" t="s">
        <v>186</v>
      </c>
      <c r="D46" s="133">
        <f t="shared" ref="D46:D53" si="10">ROUND(J46*K46/10000,2)</f>
        <v>0</v>
      </c>
      <c r="E46" s="126"/>
      <c r="F46" s="126"/>
      <c r="G46" s="129"/>
      <c r="H46" s="134">
        <f t="shared" si="9"/>
        <v>0</v>
      </c>
      <c r="I46" s="129" t="s">
        <v>63</v>
      </c>
      <c r="J46" s="104"/>
      <c r="K46" s="131">
        <v>1945.82</v>
      </c>
      <c r="L46" s="107"/>
      <c r="M46" s="107"/>
      <c r="N46" s="108">
        <f>875617/450</f>
        <v>1945.81555555556</v>
      </c>
    </row>
    <row r="47" ht="15.75" customHeight="1" spans="2:14">
      <c r="B47" s="126">
        <v>2</v>
      </c>
      <c r="C47" s="132" t="s">
        <v>187</v>
      </c>
      <c r="D47" s="133">
        <f t="shared" si="10"/>
        <v>208.65</v>
      </c>
      <c r="E47" s="126"/>
      <c r="F47" s="126"/>
      <c r="G47" s="129"/>
      <c r="H47" s="134">
        <f t="shared" si="9"/>
        <v>208.65</v>
      </c>
      <c r="I47" s="129" t="s">
        <v>63</v>
      </c>
      <c r="J47" s="104">
        <v>450</v>
      </c>
      <c r="K47" s="131">
        <v>4636.73</v>
      </c>
      <c r="L47" s="107"/>
      <c r="M47" s="107"/>
      <c r="N47" s="108">
        <f>2086527/450</f>
        <v>4636.72666666667</v>
      </c>
    </row>
    <row r="48" ht="15.75" customHeight="1" spans="2:14">
      <c r="B48" s="126" t="s">
        <v>188</v>
      </c>
      <c r="C48" s="132" t="s">
        <v>189</v>
      </c>
      <c r="D48" s="128">
        <f>SUM(D49:D52)</f>
        <v>95.87</v>
      </c>
      <c r="E48" s="126"/>
      <c r="F48" s="126"/>
      <c r="G48" s="129"/>
      <c r="H48" s="128">
        <f>SUM(H49:H52)</f>
        <v>95.87</v>
      </c>
      <c r="I48" s="129" t="s">
        <v>134</v>
      </c>
      <c r="J48" s="104">
        <v>0.45</v>
      </c>
      <c r="K48" s="131">
        <f>H48*10000/J48</f>
        <v>2130444.44444444</v>
      </c>
      <c r="L48" s="107"/>
      <c r="M48" s="107"/>
      <c r="N48" s="108"/>
    </row>
    <row r="49" ht="15.75" customHeight="1" spans="2:14">
      <c r="B49" s="126">
        <v>1</v>
      </c>
      <c r="C49" s="132" t="s">
        <v>190</v>
      </c>
      <c r="D49" s="133">
        <f t="shared" si="10"/>
        <v>0</v>
      </c>
      <c r="E49" s="126"/>
      <c r="F49" s="126"/>
      <c r="G49" s="129"/>
      <c r="H49" s="134">
        <f>SUM(D49:G49)</f>
        <v>0</v>
      </c>
      <c r="I49" s="129" t="s">
        <v>63</v>
      </c>
      <c r="J49" s="104"/>
      <c r="K49" s="121">
        <v>2102</v>
      </c>
      <c r="L49" s="107"/>
      <c r="M49" s="107"/>
      <c r="N49" s="108"/>
    </row>
    <row r="50" ht="15.75" customHeight="1" spans="2:14">
      <c r="B50" s="126">
        <v>2</v>
      </c>
      <c r="C50" s="132" t="s">
        <v>191</v>
      </c>
      <c r="D50" s="133">
        <f t="shared" si="10"/>
        <v>0</v>
      </c>
      <c r="E50" s="126"/>
      <c r="F50" s="126"/>
      <c r="G50" s="129"/>
      <c r="H50" s="134">
        <f>SUM(D50:G50)</f>
        <v>0</v>
      </c>
      <c r="I50" s="129" t="s">
        <v>63</v>
      </c>
      <c r="J50" s="104"/>
      <c r="K50" s="121"/>
      <c r="L50" s="107"/>
      <c r="M50" s="107"/>
      <c r="N50" s="108"/>
    </row>
    <row r="51" ht="15.75" customHeight="1" spans="2:14">
      <c r="B51" s="126">
        <v>3</v>
      </c>
      <c r="C51" s="136" t="s">
        <v>192</v>
      </c>
      <c r="D51" s="133">
        <f t="shared" si="10"/>
        <v>50.54</v>
      </c>
      <c r="E51" s="133"/>
      <c r="F51" s="104"/>
      <c r="G51" s="134"/>
      <c r="H51" s="134">
        <f>SUM(D51:G51)</f>
        <v>50.54</v>
      </c>
      <c r="I51" s="104" t="s">
        <v>63</v>
      </c>
      <c r="J51" s="104">
        <v>450</v>
      </c>
      <c r="K51" s="125">
        <f>1123.018</f>
        <v>1123.018</v>
      </c>
      <c r="L51" s="138"/>
      <c r="M51" s="107"/>
      <c r="N51" s="108">
        <f>505358.1/450</f>
        <v>1123.018</v>
      </c>
    </row>
    <row r="52" ht="15.75" customHeight="1" spans="2:14">
      <c r="B52" s="126">
        <v>4</v>
      </c>
      <c r="C52" s="136" t="s">
        <v>193</v>
      </c>
      <c r="D52" s="133">
        <f t="shared" si="10"/>
        <v>45.33</v>
      </c>
      <c r="E52" s="133"/>
      <c r="F52" s="104"/>
      <c r="G52" s="134"/>
      <c r="H52" s="134">
        <f>SUM(D52:G52)</f>
        <v>45.33</v>
      </c>
      <c r="I52" s="104" t="s">
        <v>63</v>
      </c>
      <c r="J52" s="104">
        <f>450*2</f>
        <v>900</v>
      </c>
      <c r="K52" s="125">
        <v>503.67</v>
      </c>
      <c r="L52" s="138"/>
      <c r="M52" s="107"/>
      <c r="N52" s="108"/>
    </row>
    <row r="53" ht="15.75" customHeight="1" spans="2:14">
      <c r="B53" s="126">
        <v>5</v>
      </c>
      <c r="C53" s="136" t="s">
        <v>194</v>
      </c>
      <c r="D53" s="133">
        <f t="shared" si="10"/>
        <v>0</v>
      </c>
      <c r="E53" s="133"/>
      <c r="F53" s="104"/>
      <c r="G53" s="134"/>
      <c r="H53" s="134">
        <f>SUM(D53:G53)</f>
        <v>0</v>
      </c>
      <c r="I53" s="104" t="s">
        <v>63</v>
      </c>
      <c r="J53" s="104"/>
      <c r="K53" s="125"/>
      <c r="L53" s="138"/>
      <c r="M53" s="107"/>
      <c r="N53" s="108"/>
    </row>
    <row r="54" ht="15.75" customHeight="1" spans="2:14">
      <c r="B54" s="126" t="s">
        <v>195</v>
      </c>
      <c r="C54" s="132" t="s">
        <v>196</v>
      </c>
      <c r="D54" s="128"/>
      <c r="E54" s="128">
        <f>SUM(E55:E57)</f>
        <v>0</v>
      </c>
      <c r="F54" s="126"/>
      <c r="G54" s="129"/>
      <c r="H54" s="128">
        <f>SUM(H55:H57)</f>
        <v>0</v>
      </c>
      <c r="I54" s="129" t="s">
        <v>134</v>
      </c>
      <c r="J54" s="104">
        <v>0.45</v>
      </c>
      <c r="K54" s="131">
        <f>H54*10000/J54</f>
        <v>0</v>
      </c>
      <c r="L54" s="107"/>
      <c r="M54" s="126"/>
      <c r="N54" s="139"/>
    </row>
    <row r="55" ht="15.75" customHeight="1" spans="2:14">
      <c r="B55" s="104">
        <v>1</v>
      </c>
      <c r="C55" s="136" t="s">
        <v>197</v>
      </c>
      <c r="D55" s="133"/>
      <c r="E55" s="133">
        <f>ROUND(J55*K55/10000,2)</f>
        <v>0</v>
      </c>
      <c r="F55" s="104"/>
      <c r="G55" s="134"/>
      <c r="H55" s="134">
        <f t="shared" ref="H55:H57" si="11">SUM(D55:G55)</f>
        <v>0</v>
      </c>
      <c r="I55" s="104" t="s">
        <v>168</v>
      </c>
      <c r="J55" s="104"/>
      <c r="K55" s="137">
        <v>204700</v>
      </c>
      <c r="L55" s="138"/>
      <c r="M55" s="107"/>
      <c r="N55" s="108"/>
    </row>
    <row r="56" ht="15.75" customHeight="1" spans="2:14">
      <c r="B56" s="126">
        <v>2</v>
      </c>
      <c r="C56" s="132" t="s">
        <v>198</v>
      </c>
      <c r="D56" s="128"/>
      <c r="E56" s="133">
        <f t="shared" ref="E56:E57" si="12">ROUND(J56*K56/10000,2)</f>
        <v>0</v>
      </c>
      <c r="F56" s="126"/>
      <c r="G56" s="129"/>
      <c r="H56" s="134">
        <f t="shared" si="11"/>
        <v>0</v>
      </c>
      <c r="I56" s="129" t="s">
        <v>168</v>
      </c>
      <c r="J56" s="104"/>
      <c r="K56" s="131">
        <v>27169</v>
      </c>
      <c r="L56" s="107"/>
      <c r="M56" s="126"/>
      <c r="N56" s="139"/>
    </row>
    <row r="57" ht="15.75" customHeight="1" spans="2:14">
      <c r="B57" s="126">
        <v>3</v>
      </c>
      <c r="C57" s="132" t="s">
        <v>199</v>
      </c>
      <c r="D57" s="128"/>
      <c r="E57" s="133">
        <f t="shared" si="12"/>
        <v>0</v>
      </c>
      <c r="F57" s="126"/>
      <c r="G57" s="129"/>
      <c r="H57" s="134">
        <f t="shared" si="11"/>
        <v>0</v>
      </c>
      <c r="I57" s="129" t="s">
        <v>168</v>
      </c>
      <c r="J57" s="104"/>
      <c r="K57" s="131">
        <v>42525</v>
      </c>
      <c r="L57" s="107"/>
      <c r="M57" s="126"/>
      <c r="N57" s="139"/>
    </row>
    <row r="58" ht="15.75" customHeight="1" spans="2:14">
      <c r="B58" s="104" t="s">
        <v>200</v>
      </c>
      <c r="C58" s="136" t="s">
        <v>201</v>
      </c>
      <c r="D58" s="128">
        <f>SUM(D59:D61)</f>
        <v>0</v>
      </c>
      <c r="E58" s="104"/>
      <c r="F58" s="104"/>
      <c r="G58" s="134"/>
      <c r="H58" s="128">
        <f>SUM(H59:H61)</f>
        <v>0</v>
      </c>
      <c r="I58" s="104" t="s">
        <v>134</v>
      </c>
      <c r="J58" s="104">
        <v>0.45</v>
      </c>
      <c r="K58" s="131">
        <f>H58*10000/J58</f>
        <v>0</v>
      </c>
      <c r="L58" s="138"/>
      <c r="M58" s="126"/>
      <c r="N58" s="139"/>
    </row>
    <row r="59" ht="15.75" customHeight="1" spans="2:14">
      <c r="B59" s="126">
        <v>1</v>
      </c>
      <c r="C59" s="132" t="s">
        <v>202</v>
      </c>
      <c r="D59" s="133">
        <f t="shared" ref="D59:D67" si="13">ROUND(J59*K59/10000,2)</f>
        <v>0</v>
      </c>
      <c r="E59" s="126"/>
      <c r="F59" s="126"/>
      <c r="G59" s="129"/>
      <c r="H59" s="134">
        <f t="shared" ref="H59:H61" si="14">SUM(D59:G59)</f>
        <v>0</v>
      </c>
      <c r="I59" s="129" t="s">
        <v>63</v>
      </c>
      <c r="J59" s="104"/>
      <c r="K59" s="131">
        <v>260</v>
      </c>
      <c r="L59" s="107"/>
      <c r="M59" s="126"/>
      <c r="N59" s="139"/>
    </row>
    <row r="60" ht="15.75" customHeight="1" spans="2:14">
      <c r="B60" s="126">
        <v>2</v>
      </c>
      <c r="C60" s="132" t="s">
        <v>203</v>
      </c>
      <c r="D60" s="133">
        <f t="shared" si="13"/>
        <v>0</v>
      </c>
      <c r="E60" s="126"/>
      <c r="F60" s="126"/>
      <c r="G60" s="129"/>
      <c r="H60" s="134">
        <f t="shared" si="14"/>
        <v>0</v>
      </c>
      <c r="I60" s="129" t="s">
        <v>165</v>
      </c>
      <c r="J60" s="104"/>
      <c r="K60" s="131">
        <v>40968</v>
      </c>
      <c r="L60" s="107"/>
      <c r="M60" s="126"/>
      <c r="N60" s="139"/>
    </row>
    <row r="61" ht="15.75" customHeight="1" spans="2:14">
      <c r="B61" s="126">
        <v>3</v>
      </c>
      <c r="C61" s="132" t="s">
        <v>204</v>
      </c>
      <c r="D61" s="133">
        <f t="shared" si="13"/>
        <v>0</v>
      </c>
      <c r="E61" s="126"/>
      <c r="F61" s="126"/>
      <c r="G61" s="129"/>
      <c r="H61" s="134">
        <f t="shared" si="14"/>
        <v>0</v>
      </c>
      <c r="I61" s="129" t="s">
        <v>165</v>
      </c>
      <c r="J61" s="104"/>
      <c r="K61" s="131">
        <v>41973</v>
      </c>
      <c r="L61" s="107"/>
      <c r="M61" s="126"/>
      <c r="N61" s="139"/>
    </row>
    <row r="62" ht="15.75" customHeight="1" spans="2:14">
      <c r="B62" s="104" t="s">
        <v>205</v>
      </c>
      <c r="C62" s="136" t="s">
        <v>206</v>
      </c>
      <c r="D62" s="128">
        <f>SUM(D63:D65)</f>
        <v>0</v>
      </c>
      <c r="E62" s="104"/>
      <c r="F62" s="104"/>
      <c r="G62" s="134"/>
      <c r="H62" s="128">
        <f>SUM(H63:H65)</f>
        <v>0</v>
      </c>
      <c r="I62" s="104" t="s">
        <v>134</v>
      </c>
      <c r="J62" s="104">
        <v>0.45</v>
      </c>
      <c r="K62" s="131">
        <f>H62*10000/J62</f>
        <v>0</v>
      </c>
      <c r="L62" s="138"/>
      <c r="M62" s="107"/>
      <c r="N62" s="108"/>
    </row>
    <row r="63" ht="15.75" customHeight="1" spans="2:14">
      <c r="B63" s="126">
        <v>1</v>
      </c>
      <c r="C63" s="132" t="s">
        <v>207</v>
      </c>
      <c r="D63" s="133">
        <f t="shared" si="13"/>
        <v>0</v>
      </c>
      <c r="E63" s="126"/>
      <c r="F63" s="126"/>
      <c r="G63" s="129"/>
      <c r="H63" s="134">
        <f t="shared" ref="H63:H65" si="15">SUM(D63:G63)</f>
        <v>0</v>
      </c>
      <c r="I63" s="129" t="s">
        <v>63</v>
      </c>
      <c r="J63" s="104"/>
      <c r="K63" s="131">
        <v>126</v>
      </c>
      <c r="L63" s="107"/>
      <c r="M63" s="107"/>
      <c r="N63" s="108"/>
    </row>
    <row r="64" ht="15.75" customHeight="1" spans="2:14">
      <c r="B64" s="126">
        <v>2</v>
      </c>
      <c r="C64" s="132" t="s">
        <v>208</v>
      </c>
      <c r="D64" s="133">
        <f t="shared" si="13"/>
        <v>0</v>
      </c>
      <c r="E64" s="126"/>
      <c r="F64" s="126"/>
      <c r="G64" s="129"/>
      <c r="H64" s="134">
        <f t="shared" si="15"/>
        <v>0</v>
      </c>
      <c r="I64" s="129" t="s">
        <v>165</v>
      </c>
      <c r="J64" s="104"/>
      <c r="K64" s="131">
        <v>30000</v>
      </c>
      <c r="L64" s="107"/>
      <c r="M64" s="107"/>
      <c r="N64" s="108"/>
    </row>
    <row r="65" ht="15.75" customHeight="1" spans="2:14">
      <c r="B65" s="126">
        <v>3</v>
      </c>
      <c r="C65" s="132" t="s">
        <v>209</v>
      </c>
      <c r="D65" s="133">
        <f t="shared" si="13"/>
        <v>0</v>
      </c>
      <c r="E65" s="126"/>
      <c r="F65" s="126"/>
      <c r="G65" s="129"/>
      <c r="H65" s="134">
        <f t="shared" si="15"/>
        <v>0</v>
      </c>
      <c r="I65" s="129" t="s">
        <v>63</v>
      </c>
      <c r="J65" s="104"/>
      <c r="K65" s="131">
        <v>162</v>
      </c>
      <c r="L65" s="107"/>
      <c r="M65" s="107"/>
      <c r="N65" s="108"/>
    </row>
    <row r="66" ht="15.75" customHeight="1" spans="2:14">
      <c r="B66" s="126" t="s">
        <v>210</v>
      </c>
      <c r="C66" s="132" t="s">
        <v>211</v>
      </c>
      <c r="D66" s="128">
        <f>SUM(D67:D67)</f>
        <v>21.95</v>
      </c>
      <c r="E66" s="126"/>
      <c r="F66" s="126"/>
      <c r="G66" s="129"/>
      <c r="H66" s="128">
        <f>SUM(H67:H67)</f>
        <v>21.95</v>
      </c>
      <c r="I66" s="129" t="s">
        <v>134</v>
      </c>
      <c r="J66" s="104">
        <v>0.45</v>
      </c>
      <c r="K66" s="131">
        <f>H66*10000/J66</f>
        <v>487777.777777778</v>
      </c>
      <c r="L66" s="107"/>
      <c r="M66" s="107"/>
      <c r="N66" s="108"/>
    </row>
    <row r="67" ht="15.75" customHeight="1" spans="2:14">
      <c r="B67" s="107">
        <v>1</v>
      </c>
      <c r="C67" s="140" t="s">
        <v>212</v>
      </c>
      <c r="D67" s="133">
        <f t="shared" si="13"/>
        <v>21.95</v>
      </c>
      <c r="E67" s="107"/>
      <c r="F67" s="107"/>
      <c r="G67" s="141"/>
      <c r="H67" s="134">
        <f>SUM(D67:G67)</f>
        <v>21.95</v>
      </c>
      <c r="I67" s="141" t="s">
        <v>213</v>
      </c>
      <c r="J67" s="138">
        <v>110</v>
      </c>
      <c r="K67" s="142">
        <v>1995</v>
      </c>
      <c r="L67" s="107"/>
      <c r="M67" s="107"/>
      <c r="N67" s="108">
        <f>219490/110</f>
        <v>1995.36363636364</v>
      </c>
    </row>
    <row r="68" ht="15.75" customHeight="1" spans="2:14">
      <c r="B68" s="54"/>
      <c r="C68" s="143"/>
      <c r="D68" s="101"/>
      <c r="E68" s="54"/>
      <c r="F68" s="54"/>
      <c r="G68" s="144"/>
      <c r="H68" s="101"/>
      <c r="I68" s="54"/>
      <c r="J68" s="54"/>
      <c r="K68" s="131"/>
      <c r="L68" s="54"/>
      <c r="M68" s="17"/>
      <c r="N68" s="88"/>
    </row>
    <row r="69" ht="15.75" customHeight="1" spans="2:14">
      <c r="B69" s="54"/>
      <c r="C69" s="143"/>
      <c r="D69" s="133"/>
      <c r="E69" s="54"/>
      <c r="F69" s="54"/>
      <c r="G69" s="144"/>
      <c r="H69" s="134"/>
      <c r="I69" s="54"/>
      <c r="J69" s="54"/>
      <c r="K69" s="54"/>
      <c r="L69" s="54"/>
      <c r="M69" s="17"/>
      <c r="N69" s="88"/>
    </row>
    <row r="70" ht="21" customHeight="1" spans="2:14">
      <c r="B70" s="145" t="s">
        <v>214</v>
      </c>
      <c r="C70" s="146" t="s">
        <v>7</v>
      </c>
      <c r="D70" s="147"/>
      <c r="E70" s="148"/>
      <c r="F70" s="148"/>
      <c r="G70" s="47">
        <f>SUM(G71,G85:G101)</f>
        <v>6798.56</v>
      </c>
      <c r="H70" s="149">
        <f>G70</f>
        <v>6798.56</v>
      </c>
      <c r="I70" s="44" t="str">
        <f>I6</f>
        <v>km</v>
      </c>
      <c r="J70" s="44">
        <f>J6</f>
        <v>0.45</v>
      </c>
      <c r="K70" s="94">
        <f>H70/J70*10000</f>
        <v>151079111.111111</v>
      </c>
      <c r="L70" s="44"/>
      <c r="M70" s="49"/>
      <c r="N70" s="50"/>
    </row>
    <row r="71" ht="16.5" customHeight="1" spans="2:14">
      <c r="B71" s="51">
        <v>1</v>
      </c>
      <c r="C71" s="52" t="s">
        <v>14</v>
      </c>
      <c r="D71" s="150"/>
      <c r="E71" s="150"/>
      <c r="F71" s="150"/>
      <c r="G71" s="151">
        <f>G72+G73+G76</f>
        <v>6249.18</v>
      </c>
      <c r="H71" s="152">
        <f>G71</f>
        <v>6249.18</v>
      </c>
      <c r="I71" s="153"/>
      <c r="J71" s="153"/>
      <c r="K71" s="153"/>
      <c r="L71" s="153"/>
      <c r="M71" s="153"/>
      <c r="N71" s="154"/>
    </row>
    <row r="72" ht="16.5" customHeight="1" spans="2:14">
      <c r="B72" s="51">
        <v>1.1</v>
      </c>
      <c r="C72" s="57" t="s">
        <v>215</v>
      </c>
      <c r="D72" s="155"/>
      <c r="E72" s="156"/>
      <c r="F72" s="156"/>
      <c r="G72" s="153">
        <f>ROUND(J72*K72/10000,2)</f>
        <v>112.5</v>
      </c>
      <c r="H72" s="153">
        <f>G72</f>
        <v>112.5</v>
      </c>
      <c r="I72" s="157" t="s">
        <v>22</v>
      </c>
      <c r="J72" s="158">
        <v>37.5</v>
      </c>
      <c r="K72" s="159">
        <v>30000</v>
      </c>
      <c r="L72" s="153"/>
      <c r="M72" s="153"/>
      <c r="N72" s="154"/>
    </row>
    <row r="73" ht="16.5" customHeight="1" spans="2:14">
      <c r="B73" s="51">
        <v>1.2</v>
      </c>
      <c r="C73" s="57" t="s">
        <v>19</v>
      </c>
      <c r="D73" s="155"/>
      <c r="E73" s="156"/>
      <c r="F73" s="156"/>
      <c r="G73" s="153">
        <f>G74+G75</f>
        <v>1420.33</v>
      </c>
      <c r="H73" s="153">
        <f t="shared" ref="H73:H103" si="16">G73</f>
        <v>1420.33</v>
      </c>
      <c r="I73" s="157"/>
      <c r="J73" s="158"/>
      <c r="K73" s="159"/>
      <c r="L73" s="153"/>
      <c r="M73" s="153"/>
      <c r="N73" s="154"/>
    </row>
    <row r="74" ht="16.5" customHeight="1" spans="2:14">
      <c r="B74" s="51" t="s">
        <v>216</v>
      </c>
      <c r="C74" s="57" t="s">
        <v>21</v>
      </c>
      <c r="D74" s="155"/>
      <c r="E74" s="156"/>
      <c r="F74" s="156"/>
      <c r="G74" s="153">
        <f t="shared" ref="G74:G84" si="17">ROUND(J74*K74/10000,2)</f>
        <v>1417.8</v>
      </c>
      <c r="H74" s="153">
        <f t="shared" si="16"/>
        <v>1417.8</v>
      </c>
      <c r="I74" s="157" t="s">
        <v>22</v>
      </c>
      <c r="J74" s="158">
        <v>70.89</v>
      </c>
      <c r="K74" s="159">
        <v>200000</v>
      </c>
      <c r="L74" s="153"/>
      <c r="M74" s="153"/>
      <c r="N74" s="154"/>
    </row>
    <row r="75" ht="16.5" customHeight="1" spans="2:14">
      <c r="B75" s="51" t="s">
        <v>24</v>
      </c>
      <c r="C75" s="57" t="s">
        <v>25</v>
      </c>
      <c r="D75" s="155"/>
      <c r="E75" s="156"/>
      <c r="F75" s="156"/>
      <c r="G75" s="153">
        <f t="shared" si="17"/>
        <v>2.53</v>
      </c>
      <c r="H75" s="153">
        <f t="shared" si="16"/>
        <v>2.53</v>
      </c>
      <c r="I75" s="157" t="s">
        <v>22</v>
      </c>
      <c r="J75" s="158">
        <v>8.42</v>
      </c>
      <c r="K75" s="159">
        <v>3000</v>
      </c>
      <c r="L75" s="153"/>
      <c r="M75" s="153"/>
      <c r="N75" s="154"/>
    </row>
    <row r="76" ht="16.5" customHeight="1" spans="2:14">
      <c r="B76" s="51">
        <v>1.3</v>
      </c>
      <c r="C76" s="57" t="s">
        <v>28</v>
      </c>
      <c r="D76" s="155"/>
      <c r="E76" s="156"/>
      <c r="F76" s="156"/>
      <c r="G76" s="153">
        <f>SUM(G77:G84)</f>
        <v>4716.35</v>
      </c>
      <c r="H76" s="153">
        <f t="shared" si="16"/>
        <v>4716.35</v>
      </c>
      <c r="I76" s="157"/>
      <c r="J76" s="158"/>
      <c r="K76" s="159"/>
      <c r="L76" s="153"/>
      <c r="M76" s="153"/>
      <c r="N76" s="154"/>
    </row>
    <row r="77" ht="16.5" customHeight="1" spans="2:14">
      <c r="B77" s="51" t="s">
        <v>30</v>
      </c>
      <c r="C77" s="57" t="s">
        <v>31</v>
      </c>
      <c r="D77" s="155"/>
      <c r="E77" s="156"/>
      <c r="F77" s="156"/>
      <c r="G77" s="153">
        <f t="shared" si="17"/>
        <v>3900</v>
      </c>
      <c r="H77" s="153">
        <f t="shared" si="16"/>
        <v>3900</v>
      </c>
      <c r="I77" s="157" t="s">
        <v>32</v>
      </c>
      <c r="J77" s="158">
        <v>3000</v>
      </c>
      <c r="K77" s="159">
        <v>13000</v>
      </c>
      <c r="L77" s="153"/>
      <c r="M77" s="153"/>
      <c r="N77" s="154"/>
    </row>
    <row r="78" ht="16.5" customHeight="1" spans="2:14">
      <c r="B78" s="51" t="s">
        <v>35</v>
      </c>
      <c r="C78" s="57" t="s">
        <v>38</v>
      </c>
      <c r="D78" s="155"/>
      <c r="E78" s="156"/>
      <c r="F78" s="156"/>
      <c r="G78" s="153">
        <f t="shared" si="17"/>
        <v>804.95</v>
      </c>
      <c r="H78" s="153">
        <f t="shared" si="16"/>
        <v>804.95</v>
      </c>
      <c r="I78" s="157" t="s">
        <v>32</v>
      </c>
      <c r="J78" s="158">
        <v>947</v>
      </c>
      <c r="K78" s="159">
        <v>8500</v>
      </c>
      <c r="L78" s="153"/>
      <c r="M78" s="153"/>
      <c r="N78" s="154"/>
    </row>
    <row r="79" ht="16.5" customHeight="1" spans="2:14">
      <c r="B79" s="51" t="s">
        <v>37</v>
      </c>
      <c r="C79" s="57" t="s">
        <v>41</v>
      </c>
      <c r="D79" s="155"/>
      <c r="E79" s="156"/>
      <c r="F79" s="156"/>
      <c r="G79" s="153">
        <f t="shared" si="17"/>
        <v>0</v>
      </c>
      <c r="H79" s="153">
        <f t="shared" si="16"/>
        <v>0</v>
      </c>
      <c r="I79" s="157" t="s">
        <v>42</v>
      </c>
      <c r="J79" s="158">
        <v>0</v>
      </c>
      <c r="K79" s="159">
        <v>80000</v>
      </c>
      <c r="L79" s="153"/>
      <c r="M79" s="153"/>
      <c r="N79" s="154"/>
    </row>
    <row r="80" ht="16.5" customHeight="1" spans="2:14">
      <c r="B80" s="51" t="s">
        <v>40</v>
      </c>
      <c r="C80" s="57" t="s">
        <v>45</v>
      </c>
      <c r="D80" s="155"/>
      <c r="E80" s="156"/>
      <c r="F80" s="156"/>
      <c r="G80" s="153">
        <f t="shared" si="17"/>
        <v>0</v>
      </c>
      <c r="H80" s="153">
        <f t="shared" si="16"/>
        <v>0</v>
      </c>
      <c r="I80" s="157" t="s">
        <v>46</v>
      </c>
      <c r="J80" s="158">
        <v>0</v>
      </c>
      <c r="K80" s="159">
        <v>30000</v>
      </c>
      <c r="L80" s="153"/>
      <c r="M80" s="153"/>
      <c r="N80" s="154"/>
    </row>
    <row r="81" ht="16.5" customHeight="1" spans="2:14">
      <c r="B81" s="51" t="s">
        <v>44</v>
      </c>
      <c r="C81" s="57" t="s">
        <v>59</v>
      </c>
      <c r="D81" s="155"/>
      <c r="E81" s="156"/>
      <c r="F81" s="156"/>
      <c r="G81" s="153">
        <f t="shared" si="17"/>
        <v>4</v>
      </c>
      <c r="H81" s="153">
        <f t="shared" si="16"/>
        <v>4</v>
      </c>
      <c r="I81" s="157" t="s">
        <v>42</v>
      </c>
      <c r="J81" s="158">
        <v>2</v>
      </c>
      <c r="K81" s="159">
        <v>20000</v>
      </c>
      <c r="L81" s="153"/>
      <c r="M81" s="153"/>
      <c r="N81" s="154"/>
    </row>
    <row r="82" ht="16.5" customHeight="1" spans="2:14">
      <c r="B82" s="51" t="s">
        <v>56</v>
      </c>
      <c r="C82" s="57" t="s">
        <v>62</v>
      </c>
      <c r="D82" s="155"/>
      <c r="E82" s="156"/>
      <c r="F82" s="156"/>
      <c r="G82" s="153">
        <f t="shared" si="17"/>
        <v>6</v>
      </c>
      <c r="H82" s="153">
        <f t="shared" si="16"/>
        <v>6</v>
      </c>
      <c r="I82" s="157" t="s">
        <v>63</v>
      </c>
      <c r="J82" s="158">
        <v>400</v>
      </c>
      <c r="K82" s="159">
        <v>150</v>
      </c>
      <c r="L82" s="153"/>
      <c r="M82" s="153"/>
      <c r="N82" s="154"/>
    </row>
    <row r="83" ht="16.5" customHeight="1" spans="2:14">
      <c r="B83" s="51" t="s">
        <v>58</v>
      </c>
      <c r="C83" s="57" t="s">
        <v>67</v>
      </c>
      <c r="D83" s="155"/>
      <c r="E83" s="156"/>
      <c r="F83" s="156"/>
      <c r="G83" s="153">
        <f t="shared" si="17"/>
        <v>1.4</v>
      </c>
      <c r="H83" s="153">
        <f t="shared" si="16"/>
        <v>1.4</v>
      </c>
      <c r="I83" s="157" t="s">
        <v>42</v>
      </c>
      <c r="J83" s="158">
        <v>7</v>
      </c>
      <c r="K83" s="159">
        <v>2000</v>
      </c>
      <c r="L83" s="153"/>
      <c r="M83" s="153"/>
      <c r="N83" s="154"/>
    </row>
    <row r="84" ht="16.5" customHeight="1" spans="2:14">
      <c r="B84" s="51" t="s">
        <v>61</v>
      </c>
      <c r="C84" s="57" t="s">
        <v>217</v>
      </c>
      <c r="D84" s="155"/>
      <c r="E84" s="156"/>
      <c r="F84" s="156"/>
      <c r="G84" s="153">
        <f t="shared" si="17"/>
        <v>0</v>
      </c>
      <c r="H84" s="153">
        <f t="shared" si="16"/>
        <v>0</v>
      </c>
      <c r="I84" s="153"/>
      <c r="J84" s="158">
        <v>0</v>
      </c>
      <c r="K84" s="160">
        <v>500000</v>
      </c>
      <c r="L84" s="153"/>
      <c r="M84" s="153"/>
      <c r="N84" s="154"/>
    </row>
    <row r="85" ht="16.5" customHeight="1" spans="2:14">
      <c r="B85" s="153">
        <v>2</v>
      </c>
      <c r="C85" s="57" t="s">
        <v>72</v>
      </c>
      <c r="D85" s="155" t="s">
        <v>218</v>
      </c>
      <c r="E85" s="156"/>
      <c r="F85" s="156"/>
      <c r="G85" s="153">
        <f>ROUND(H6*3%,2)</f>
        <v>44.43</v>
      </c>
      <c r="H85" s="153">
        <f t="shared" si="16"/>
        <v>44.43</v>
      </c>
      <c r="I85" s="153"/>
      <c r="J85" s="153"/>
      <c r="K85" s="153"/>
      <c r="L85" s="153"/>
      <c r="M85" s="60">
        <f>H85/$H$6</f>
        <v>0.0299977719413143</v>
      </c>
      <c r="N85" s="61"/>
    </row>
    <row r="86" ht="16.5" customHeight="1" spans="2:14">
      <c r="B86" s="153">
        <v>3</v>
      </c>
      <c r="C86" s="57" t="s">
        <v>75</v>
      </c>
      <c r="D86" s="155" t="s">
        <v>76</v>
      </c>
      <c r="E86" s="156"/>
      <c r="F86" s="156"/>
      <c r="G86" s="161">
        <f>ROUND((H6-10000)*(393.4-218.6)/10000+218.6,2)</f>
        <v>69.69</v>
      </c>
      <c r="H86" s="153">
        <f t="shared" si="16"/>
        <v>69.69</v>
      </c>
      <c r="I86" s="153"/>
      <c r="J86" s="153"/>
      <c r="K86" s="153"/>
      <c r="L86" s="153"/>
      <c r="M86" s="60">
        <f t="shared" ref="M86:M101" si="18">H86/$H$6</f>
        <v>0.047052548426518</v>
      </c>
      <c r="N86" s="61"/>
    </row>
    <row r="87" ht="16.5" customHeight="1" spans="2:14">
      <c r="B87" s="153">
        <v>4</v>
      </c>
      <c r="C87" s="57" t="s">
        <v>78</v>
      </c>
      <c r="D87" s="155" t="s">
        <v>79</v>
      </c>
      <c r="E87" s="156"/>
      <c r="F87" s="156"/>
      <c r="G87" s="153">
        <f>ROUND($H$6*(0.32%*2+0.11%),2)</f>
        <v>11.11</v>
      </c>
      <c r="H87" s="153">
        <f t="shared" si="16"/>
        <v>11.11</v>
      </c>
      <c r="I87" s="153"/>
      <c r="J87" s="153"/>
      <c r="K87" s="153"/>
      <c r="L87" s="153"/>
      <c r="M87" s="60">
        <f t="shared" si="18"/>
        <v>0.00750113090857533</v>
      </c>
      <c r="N87" s="61"/>
    </row>
    <row r="88" ht="16.5" customHeight="1" spans="2:14">
      <c r="B88" s="153">
        <v>5</v>
      </c>
      <c r="C88" s="57" t="s">
        <v>81</v>
      </c>
      <c r="D88" s="155" t="s">
        <v>82</v>
      </c>
      <c r="E88" s="156"/>
      <c r="F88" s="156"/>
      <c r="G88" s="161">
        <f>ROUND((H6-10000)*(136-60)/40000+60,2)</f>
        <v>43.81</v>
      </c>
      <c r="H88" s="153">
        <f t="shared" si="16"/>
        <v>43.81</v>
      </c>
      <c r="I88" s="153"/>
      <c r="J88" s="153"/>
      <c r="K88" s="153"/>
      <c r="L88" s="153"/>
      <c r="M88" s="60">
        <f t="shared" si="18"/>
        <v>0.0295791669761193</v>
      </c>
      <c r="N88" s="61"/>
    </row>
    <row r="89" ht="16.5" customHeight="1" spans="2:14">
      <c r="B89" s="153">
        <v>6</v>
      </c>
      <c r="C89" s="57" t="s">
        <v>84</v>
      </c>
      <c r="D89" s="155" t="s">
        <v>85</v>
      </c>
      <c r="E89" s="156"/>
      <c r="F89" s="156"/>
      <c r="G89" s="153">
        <f>ROUND($H$6*1%,2)</f>
        <v>14.81</v>
      </c>
      <c r="H89" s="153">
        <f t="shared" si="16"/>
        <v>14.81</v>
      </c>
      <c r="I89" s="153"/>
      <c r="J89" s="153"/>
      <c r="K89" s="153"/>
      <c r="L89" s="153"/>
      <c r="M89" s="60">
        <f t="shared" si="18"/>
        <v>0.00999925731377143</v>
      </c>
      <c r="N89" s="61"/>
    </row>
    <row r="90" ht="16.5" customHeight="1" spans="2:14">
      <c r="B90" s="153">
        <v>7</v>
      </c>
      <c r="C90" s="57" t="s">
        <v>87</v>
      </c>
      <c r="D90" s="155" t="s">
        <v>88</v>
      </c>
      <c r="E90" s="156"/>
      <c r="F90" s="156"/>
      <c r="G90" s="161">
        <f>ROUND((H6-10000)*(566.8-304.8)/10000+304.8,2)</f>
        <v>81.61</v>
      </c>
      <c r="H90" s="153">
        <f t="shared" si="16"/>
        <v>81.61</v>
      </c>
      <c r="I90" s="153"/>
      <c r="J90" s="153"/>
      <c r="K90" s="153"/>
      <c r="L90" s="153"/>
      <c r="M90" s="60">
        <f t="shared" si="18"/>
        <v>0.0551005664670416</v>
      </c>
      <c r="N90" s="61"/>
    </row>
    <row r="91" ht="16.5" customHeight="1" spans="2:14">
      <c r="B91" s="153">
        <v>8</v>
      </c>
      <c r="C91" s="57" t="s">
        <v>90</v>
      </c>
      <c r="D91" s="155" t="s">
        <v>91</v>
      </c>
      <c r="E91" s="156"/>
      <c r="F91" s="156"/>
      <c r="G91" s="161">
        <f>ROUND((H7-10000)*(18-7.5)/17000+7.5,2)</f>
        <v>2.24</v>
      </c>
      <c r="H91" s="153">
        <f t="shared" si="16"/>
        <v>2.24</v>
      </c>
      <c r="I91" s="153"/>
      <c r="J91" s="153"/>
      <c r="K91" s="153"/>
      <c r="L91" s="153"/>
      <c r="M91" s="60">
        <f t="shared" si="18"/>
        <v>0.00151237922909169</v>
      </c>
      <c r="N91" s="61"/>
    </row>
    <row r="92" ht="16.5" customHeight="1" spans="2:14">
      <c r="B92" s="153">
        <v>9</v>
      </c>
      <c r="C92" s="57" t="s">
        <v>93</v>
      </c>
      <c r="D92" s="155" t="s">
        <v>94</v>
      </c>
      <c r="E92" s="156"/>
      <c r="F92" s="156"/>
      <c r="G92" s="153">
        <f>ROUND((J72+J74+J75)*667*1.5/10000,2)</f>
        <v>11.69</v>
      </c>
      <c r="H92" s="153">
        <f t="shared" si="16"/>
        <v>11.69</v>
      </c>
      <c r="I92" s="153"/>
      <c r="J92" s="153"/>
      <c r="K92" s="153"/>
      <c r="L92" s="153"/>
      <c r="M92" s="60">
        <f t="shared" si="18"/>
        <v>0.00789272910182228</v>
      </c>
      <c r="N92" s="61"/>
    </row>
    <row r="93" ht="16.5" customHeight="1" spans="2:14">
      <c r="B93" s="153">
        <v>10</v>
      </c>
      <c r="C93" s="57" t="s">
        <v>97</v>
      </c>
      <c r="D93" s="155" t="s">
        <v>98</v>
      </c>
      <c r="E93" s="156"/>
      <c r="F93" s="156"/>
      <c r="G93" s="153">
        <f>ROUND($H$6*0.3%,2)</f>
        <v>4.44</v>
      </c>
      <c r="H93" s="153">
        <f t="shared" si="16"/>
        <v>4.44</v>
      </c>
      <c r="I93" s="153"/>
      <c r="J93" s="153"/>
      <c r="K93" s="153"/>
      <c r="L93" s="153"/>
      <c r="M93" s="60">
        <f t="shared" si="18"/>
        <v>0.00299775168623532</v>
      </c>
      <c r="N93" s="61"/>
    </row>
    <row r="94" ht="16.5" customHeight="1" spans="2:14">
      <c r="B94" s="153">
        <v>11</v>
      </c>
      <c r="C94" s="57" t="s">
        <v>100</v>
      </c>
      <c r="D94" s="155" t="s">
        <v>85</v>
      </c>
      <c r="E94" s="156"/>
      <c r="F94" s="156"/>
      <c r="G94" s="153">
        <f t="shared" ref="G94" si="19">ROUND($H$6*1%,2)</f>
        <v>14.81</v>
      </c>
      <c r="H94" s="153">
        <f t="shared" si="16"/>
        <v>14.81</v>
      </c>
      <c r="I94" s="153"/>
      <c r="J94" s="153"/>
      <c r="K94" s="153"/>
      <c r="L94" s="153"/>
      <c r="M94" s="60">
        <f t="shared" si="18"/>
        <v>0.00999925731377143</v>
      </c>
      <c r="N94" s="61"/>
    </row>
    <row r="95" ht="16.5" customHeight="1" spans="2:14">
      <c r="B95" s="153">
        <v>12</v>
      </c>
      <c r="C95" s="57" t="s">
        <v>101</v>
      </c>
      <c r="D95" s="162" t="s">
        <v>219</v>
      </c>
      <c r="E95" s="163"/>
      <c r="F95" s="163"/>
      <c r="G95" s="153">
        <f>ROUND($H$6*0.4%,2)</f>
        <v>5.92</v>
      </c>
      <c r="H95" s="153">
        <f t="shared" si="16"/>
        <v>5.92</v>
      </c>
      <c r="I95" s="153"/>
      <c r="J95" s="153"/>
      <c r="K95" s="153"/>
      <c r="L95" s="153"/>
      <c r="M95" s="60">
        <f t="shared" si="18"/>
        <v>0.00399700224831376</v>
      </c>
      <c r="N95" s="61"/>
    </row>
    <row r="96" ht="16.5" customHeight="1" spans="2:14">
      <c r="B96" s="153">
        <v>13</v>
      </c>
      <c r="C96" s="57" t="s">
        <v>104</v>
      </c>
      <c r="D96" s="155" t="s">
        <v>105</v>
      </c>
      <c r="E96" s="156"/>
      <c r="F96" s="156"/>
      <c r="G96" s="153">
        <v>42.87</v>
      </c>
      <c r="H96" s="153">
        <f t="shared" si="16"/>
        <v>42.87</v>
      </c>
      <c r="I96" s="153"/>
      <c r="J96" s="153"/>
      <c r="K96" s="153"/>
      <c r="L96" s="153"/>
      <c r="M96" s="60">
        <f t="shared" si="18"/>
        <v>0.0289445078353397</v>
      </c>
      <c r="N96" s="61"/>
    </row>
    <row r="97" ht="16.5" customHeight="1" spans="2:14">
      <c r="B97" s="153">
        <v>14</v>
      </c>
      <c r="C97" s="57" t="s">
        <v>106</v>
      </c>
      <c r="D97" s="155" t="s">
        <v>107</v>
      </c>
      <c r="E97" s="156"/>
      <c r="F97" s="156"/>
      <c r="G97" s="161">
        <f>ROUND(100*1%+400*0.7%+500*0.55%+4000*0.35%+5000*0.2%+(H6-10000)*0.05%,2)</f>
        <v>26.29</v>
      </c>
      <c r="H97" s="153">
        <f t="shared" si="16"/>
        <v>26.29</v>
      </c>
      <c r="I97" s="153"/>
      <c r="J97" s="153"/>
      <c r="K97" s="153"/>
      <c r="L97" s="153"/>
      <c r="M97" s="60">
        <f t="shared" si="18"/>
        <v>0.0177502008628664</v>
      </c>
      <c r="N97" s="61"/>
    </row>
    <row r="98" ht="16.5" customHeight="1" spans="2:14">
      <c r="B98" s="153">
        <v>15</v>
      </c>
      <c r="C98" s="57" t="s">
        <v>109</v>
      </c>
      <c r="D98" s="155" t="s">
        <v>110</v>
      </c>
      <c r="E98" s="156"/>
      <c r="F98" s="156"/>
      <c r="G98" s="161">
        <f>ROUND(H89*0.035+100*0.17%+400*0.14%+500*0.11%+4000*0.08%+5000*0.06%+(H6-10000)*0.03%,2)</f>
        <v>5.44</v>
      </c>
      <c r="H98" s="153">
        <f t="shared" si="16"/>
        <v>5.44</v>
      </c>
      <c r="I98" s="153"/>
      <c r="J98" s="153"/>
      <c r="K98" s="153"/>
      <c r="L98" s="153"/>
      <c r="M98" s="60">
        <f t="shared" si="18"/>
        <v>0.00367292098493697</v>
      </c>
      <c r="N98" s="61"/>
    </row>
    <row r="99" ht="16.5" customHeight="1" spans="2:14">
      <c r="B99" s="153">
        <v>16</v>
      </c>
      <c r="C99" s="57" t="s">
        <v>112</v>
      </c>
      <c r="D99" s="155" t="s">
        <v>113</v>
      </c>
      <c r="E99" s="156"/>
      <c r="F99" s="156"/>
      <c r="G99" s="153">
        <f>ROUND((J72+J74+J75)*667*0.67/10000,2)</f>
        <v>5.22</v>
      </c>
      <c r="H99" s="153">
        <f t="shared" si="16"/>
        <v>5.22</v>
      </c>
      <c r="I99" s="153"/>
      <c r="J99" s="153"/>
      <c r="K99" s="153"/>
      <c r="L99" s="153"/>
      <c r="M99" s="60">
        <f t="shared" si="18"/>
        <v>0.00352438373922261</v>
      </c>
      <c r="N99" s="61"/>
    </row>
    <row r="100" ht="16.5" customHeight="1" spans="2:14">
      <c r="B100" s="153">
        <v>17</v>
      </c>
      <c r="C100" s="57" t="s">
        <v>220</v>
      </c>
      <c r="D100" s="155" t="s">
        <v>221</v>
      </c>
      <c r="E100" s="156"/>
      <c r="F100" s="156"/>
      <c r="G100" s="153">
        <v>150</v>
      </c>
      <c r="H100" s="153">
        <f t="shared" si="16"/>
        <v>150</v>
      </c>
      <c r="I100" s="153"/>
      <c r="J100" s="153"/>
      <c r="K100" s="153"/>
      <c r="L100" s="153"/>
      <c r="M100" s="60">
        <f t="shared" si="18"/>
        <v>0.101275394805247</v>
      </c>
      <c r="N100" s="61"/>
    </row>
    <row r="101" ht="16.5" customHeight="1" spans="2:14">
      <c r="B101" s="153">
        <v>18</v>
      </c>
      <c r="C101" s="57" t="s">
        <v>115</v>
      </c>
      <c r="D101" s="155" t="s">
        <v>116</v>
      </c>
      <c r="E101" s="164"/>
      <c r="F101" s="165"/>
      <c r="G101" s="153">
        <v>15</v>
      </c>
      <c r="H101" s="153">
        <f t="shared" si="16"/>
        <v>15</v>
      </c>
      <c r="I101" s="153"/>
      <c r="J101" s="153"/>
      <c r="K101" s="153"/>
      <c r="L101" s="153"/>
      <c r="M101" s="60">
        <f t="shared" si="18"/>
        <v>0.0101275394805247</v>
      </c>
      <c r="N101" s="61"/>
    </row>
    <row r="102" ht="18" customHeight="1" spans="2:14">
      <c r="B102" s="64" t="s">
        <v>222</v>
      </c>
      <c r="C102" s="65" t="s">
        <v>223</v>
      </c>
      <c r="D102" s="166"/>
      <c r="E102" s="167"/>
      <c r="F102" s="167"/>
      <c r="G102" s="66">
        <f>SUM(G103:G104)</f>
        <v>413.98</v>
      </c>
      <c r="H102" s="66">
        <f t="shared" si="16"/>
        <v>413.98</v>
      </c>
      <c r="I102" s="64"/>
      <c r="J102" s="64"/>
      <c r="K102" s="64"/>
      <c r="L102" s="95">
        <f>H102/H109</f>
        <v>0.0476186641974315</v>
      </c>
      <c r="M102" s="64"/>
      <c r="N102" s="67"/>
    </row>
    <row r="103" ht="18" customHeight="1" spans="2:14">
      <c r="B103" s="68">
        <v>1</v>
      </c>
      <c r="C103" s="69" t="s">
        <v>224</v>
      </c>
      <c r="D103" s="168" t="s">
        <v>225</v>
      </c>
      <c r="E103" s="169"/>
      <c r="F103" s="169"/>
      <c r="G103" s="70">
        <f>ROUND((H6+H70)*5%,2)</f>
        <v>413.98</v>
      </c>
      <c r="H103" s="70">
        <f t="shared" si="16"/>
        <v>413.98</v>
      </c>
      <c r="I103" s="68"/>
      <c r="J103" s="68"/>
      <c r="K103" s="68"/>
      <c r="L103" s="170"/>
      <c r="M103" s="72">
        <v>0.05</v>
      </c>
      <c r="N103" s="73"/>
    </row>
    <row r="104" ht="18" customHeight="1" spans="2:14">
      <c r="B104" s="68">
        <v>2</v>
      </c>
      <c r="C104" s="69" t="s">
        <v>226</v>
      </c>
      <c r="D104" s="70"/>
      <c r="E104" s="70"/>
      <c r="F104" s="70"/>
      <c r="G104" s="70"/>
      <c r="H104" s="70"/>
      <c r="I104" s="68"/>
      <c r="J104" s="68"/>
      <c r="K104" s="68"/>
      <c r="L104" s="170"/>
      <c r="M104" s="68"/>
      <c r="N104" s="74"/>
    </row>
    <row r="105" ht="18" customHeight="1" spans="2:14">
      <c r="B105" s="64" t="s">
        <v>227</v>
      </c>
      <c r="C105" s="65" t="s">
        <v>228</v>
      </c>
      <c r="D105" s="66">
        <f>D6</f>
        <v>1481.11</v>
      </c>
      <c r="E105" s="66">
        <f>E6</f>
        <v>0</v>
      </c>
      <c r="F105" s="66">
        <f>F6</f>
        <v>0</v>
      </c>
      <c r="G105" s="66">
        <f>G70+G102</f>
        <v>7212.54</v>
      </c>
      <c r="H105" s="66">
        <f>H6+H70+H102</f>
        <v>8693.65</v>
      </c>
      <c r="I105" s="75" t="str">
        <f>I70</f>
        <v>km</v>
      </c>
      <c r="J105" s="64">
        <f>J70</f>
        <v>0.45</v>
      </c>
      <c r="K105" s="94">
        <f>H105/J105*10000</f>
        <v>193192222.222222</v>
      </c>
      <c r="L105" s="95">
        <v>98.3898645084136</v>
      </c>
      <c r="M105" s="64"/>
      <c r="N105" s="67"/>
    </row>
    <row r="106" ht="18" customHeight="1" spans="2:14">
      <c r="B106" s="64" t="s">
        <v>229</v>
      </c>
      <c r="C106" s="65" t="s">
        <v>230</v>
      </c>
      <c r="D106" s="66"/>
      <c r="E106" s="66"/>
      <c r="F106" s="66"/>
      <c r="G106" s="66"/>
      <c r="H106" s="66"/>
      <c r="I106" s="64"/>
      <c r="J106" s="64"/>
      <c r="K106" s="64"/>
      <c r="L106" s="95">
        <v>1.37745810311779</v>
      </c>
      <c r="M106" s="64"/>
      <c r="N106" s="67"/>
    </row>
    <row r="107" ht="18" customHeight="1" spans="2:14">
      <c r="B107" s="64" t="s">
        <v>231</v>
      </c>
      <c r="C107" s="65" t="s">
        <v>232</v>
      </c>
      <c r="D107" s="66"/>
      <c r="E107" s="66"/>
      <c r="F107" s="66"/>
      <c r="G107" s="66"/>
      <c r="H107" s="66"/>
      <c r="I107" s="64"/>
      <c r="J107" s="64"/>
      <c r="K107" s="64"/>
      <c r="L107" s="95"/>
      <c r="M107" s="64"/>
      <c r="N107" s="67"/>
    </row>
    <row r="108" ht="18" customHeight="1" spans="2:14">
      <c r="B108" s="64" t="s">
        <v>233</v>
      </c>
      <c r="C108" s="65" t="s">
        <v>234</v>
      </c>
      <c r="D108" s="66"/>
      <c r="E108" s="66"/>
      <c r="F108" s="66"/>
      <c r="G108" s="66"/>
      <c r="H108" s="66"/>
      <c r="I108" s="64"/>
      <c r="J108" s="64"/>
      <c r="K108" s="64"/>
      <c r="L108" s="95">
        <v>0.23267738846861</v>
      </c>
      <c r="M108" s="64"/>
      <c r="N108" s="67"/>
    </row>
    <row r="109" ht="18" customHeight="1" spans="2:14">
      <c r="B109" s="64" t="s">
        <v>235</v>
      </c>
      <c r="C109" s="65" t="s">
        <v>236</v>
      </c>
      <c r="D109" s="66">
        <f>D105+D106+D107+D108</f>
        <v>1481.11</v>
      </c>
      <c r="E109" s="66">
        <f t="shared" ref="E109:H109" si="20">E105+E106+E107+E108</f>
        <v>0</v>
      </c>
      <c r="F109" s="66">
        <f t="shared" si="20"/>
        <v>0</v>
      </c>
      <c r="G109" s="66">
        <f t="shared" si="20"/>
        <v>7212.54</v>
      </c>
      <c r="H109" s="66">
        <f t="shared" si="20"/>
        <v>8693.65</v>
      </c>
      <c r="I109" s="75" t="str">
        <f>I70</f>
        <v>km</v>
      </c>
      <c r="J109" s="64">
        <f>J70</f>
        <v>0.45</v>
      </c>
      <c r="K109" s="94">
        <f>H109/J109*10000</f>
        <v>193192222.222222</v>
      </c>
      <c r="L109" s="95">
        <v>100</v>
      </c>
      <c r="M109" s="64"/>
      <c r="N109" s="67"/>
    </row>
    <row r="112" spans="2:14">
      <c r="B112" s="171"/>
    </row>
  </sheetData>
  <mergeCells count="41">
    <mergeCell ref="B3:M3"/>
    <mergeCell ref="D4:H4"/>
    <mergeCell ref="I4:K4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B4:B5"/>
    <mergeCell ref="C4:C5"/>
    <mergeCell ref="L4:L5"/>
    <mergeCell ref="M4:M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7"/>
  <sheetViews>
    <sheetView tabSelected="1" zoomScale="85" zoomScaleNormal="85" zoomScaleSheetLayoutView="130" workbookViewId="0">
      <selection activeCell="E5" sqref="E5"/>
    </sheetView>
  </sheetViews>
  <sheetFormatPr defaultColWidth="9" defaultRowHeight="13.5"/>
  <cols>
    <col min="1" max="1" width="7.44166666666667" style="2" customWidth="1"/>
    <col min="2" max="2" width="26.7583333333333" style="3" customWidth="1"/>
    <col min="3" max="3" width="10.6666666666667" style="4" customWidth="1"/>
    <col min="4" max="4" width="8.44166666666667" style="4" customWidth="1"/>
    <col min="5" max="5" width="9.33333333333333" style="4" customWidth="1"/>
    <col min="6" max="6" width="9.44166666666667" style="4" customWidth="1"/>
    <col min="7" max="7" width="10.4416666666667" style="4" customWidth="1"/>
    <col min="8" max="8" width="5.88333333333333" style="4" customWidth="1"/>
    <col min="9" max="9" width="10.2166666666667" style="4" customWidth="1"/>
    <col min="10" max="10" width="10.4416666666667" style="2" customWidth="1"/>
    <col min="11" max="11" width="8.21666666666667" style="5" customWidth="1"/>
    <col min="12" max="12" width="7.33333333333333" style="4" customWidth="1"/>
    <col min="13" max="13" width="0.333333333333333" style="4" customWidth="1"/>
    <col min="14" max="14" width="9.775" style="4" hidden="1" customWidth="1"/>
    <col min="15" max="15" width="9" style="4" hidden="1" customWidth="1"/>
    <col min="16" max="16" width="9.44166666666667" style="4" hidden="1" customWidth="1"/>
    <col min="17" max="17" width="10.4416666666667" style="4" hidden="1" customWidth="1"/>
    <col min="18" max="18" width="10.5583333333333" style="4" hidden="1" customWidth="1"/>
    <col min="19" max="19" width="13.6666666666667" style="4" customWidth="1"/>
    <col min="20" max="21" width="9" style="4"/>
    <col min="22" max="22" width="11.4416666666667" style="4"/>
    <col min="23" max="23" width="12.6666666666667" style="4"/>
    <col min="24" max="16384" width="9" style="4"/>
  </cols>
  <sheetData>
    <row r="1" ht="21.75" customHeight="1" spans="1:18">
      <c r="A1" s="6" t="s">
        <v>237</v>
      </c>
      <c r="B1" s="7"/>
      <c r="C1" s="8"/>
      <c r="D1" s="8"/>
      <c r="E1" s="8"/>
      <c r="F1" s="8"/>
      <c r="G1" s="8"/>
      <c r="H1" s="8"/>
      <c r="I1" s="8"/>
      <c r="J1" s="8"/>
      <c r="K1" s="9"/>
      <c r="L1" s="8"/>
      <c r="M1" s="10"/>
    </row>
    <row r="2" ht="21.75" customHeight="1" spans="1:18">
      <c r="A2" s="11" t="s">
        <v>238</v>
      </c>
      <c r="B2" s="12"/>
      <c r="C2" s="13"/>
      <c r="D2" s="13"/>
      <c r="E2" s="13"/>
      <c r="F2" s="13"/>
      <c r="G2" s="13"/>
      <c r="H2" s="13"/>
      <c r="I2" s="13"/>
      <c r="J2" s="13"/>
      <c r="K2" s="14"/>
      <c r="L2" s="13"/>
      <c r="M2" s="10"/>
    </row>
    <row r="3" ht="21.75" customHeight="1" spans="1:18">
      <c r="A3" s="15" t="s">
        <v>1</v>
      </c>
      <c r="B3" s="16" t="s">
        <v>239</v>
      </c>
      <c r="C3" s="15" t="s">
        <v>120</v>
      </c>
      <c r="D3" s="17"/>
      <c r="E3" s="17"/>
      <c r="F3" s="17"/>
      <c r="G3" s="17"/>
      <c r="H3" s="15" t="s">
        <v>240</v>
      </c>
      <c r="I3" s="17"/>
      <c r="J3" s="17"/>
      <c r="K3" s="18" t="s">
        <v>122</v>
      </c>
      <c r="L3" s="15" t="s">
        <v>123</v>
      </c>
      <c r="M3" s="19"/>
    </row>
    <row r="4" ht="34.5" customHeight="1" spans="1:18">
      <c r="A4" s="17"/>
      <c r="B4" s="20"/>
      <c r="C4" s="15" t="s">
        <v>241</v>
      </c>
      <c r="D4" s="15" t="s">
        <v>242</v>
      </c>
      <c r="E4" s="21" t="s">
        <v>243</v>
      </c>
      <c r="F4" s="22" t="s">
        <v>244</v>
      </c>
      <c r="G4" s="22" t="s">
        <v>6</v>
      </c>
      <c r="H4" s="15" t="s">
        <v>15</v>
      </c>
      <c r="I4" s="15" t="s">
        <v>16</v>
      </c>
      <c r="J4" s="21" t="s">
        <v>245</v>
      </c>
      <c r="K4" s="23"/>
      <c r="L4" s="17"/>
      <c r="M4" s="19"/>
    </row>
    <row r="5" s="1" customFormat="1" ht="18.75" customHeight="1" spans="1:18">
      <c r="A5" s="24" t="s">
        <v>246</v>
      </c>
      <c r="B5" s="25" t="s">
        <v>133</v>
      </c>
      <c r="C5" s="26">
        <f>+SUM(C6:C10)</f>
        <v>256.18</v>
      </c>
      <c r="D5" s="26">
        <f>+SUM(D6:D10)</f>
        <v>0</v>
      </c>
      <c r="E5" s="26">
        <f>+SUM(E6:E10)</f>
        <v>0</v>
      </c>
      <c r="F5" s="26">
        <f>+SUM(F6:F10)</f>
        <v>0</v>
      </c>
      <c r="G5" s="26">
        <f>+SUM(G6:G10)</f>
        <v>256.18</v>
      </c>
      <c r="H5" s="27" t="s">
        <v>63</v>
      </c>
      <c r="I5" s="28">
        <f>+SUM(I6:I10)</f>
        <v>3063</v>
      </c>
      <c r="J5" s="29">
        <f>+ROUND(G5/I5*10000,2)</f>
        <v>836.37</v>
      </c>
      <c r="K5" s="30"/>
      <c r="L5" s="31"/>
      <c r="M5" s="32"/>
      <c r="N5" s="1">
        <f>+J5/10000</f>
        <v>0.083637</v>
      </c>
    </row>
    <row r="6" s="1" customFormat="1" ht="18.75" customHeight="1" spans="1:18">
      <c r="A6" s="33">
        <v>1</v>
      </c>
      <c r="B6" s="34" t="s">
        <v>247</v>
      </c>
      <c r="C6" s="35">
        <v>44.91</v>
      </c>
      <c r="D6" s="35"/>
      <c r="E6" s="35"/>
      <c r="F6" s="35"/>
      <c r="G6" s="36">
        <f>+SUM(C6:F6)</f>
        <v>44.91</v>
      </c>
      <c r="H6" s="37" t="s">
        <v>63</v>
      </c>
      <c r="I6" s="38">
        <f>111+96+150</f>
        <v>357</v>
      </c>
      <c r="J6" s="39">
        <f t="shared" ref="J6:J11" si="0">+ROUND(G6/I6*10000,2)</f>
        <v>1257.98</v>
      </c>
      <c r="K6" s="30"/>
      <c r="L6" s="31"/>
      <c r="M6" s="32"/>
    </row>
    <row r="7" s="1" customFormat="1" ht="18.75" spans="1:18">
      <c r="A7" s="33">
        <v>2</v>
      </c>
      <c r="B7" s="34" t="s">
        <v>248</v>
      </c>
      <c r="C7" s="35">
        <v>18.58</v>
      </c>
      <c r="D7" s="35"/>
      <c r="E7" s="35"/>
      <c r="F7" s="35"/>
      <c r="G7" s="36">
        <f>+SUM(C7:F7)</f>
        <v>18.58</v>
      </c>
      <c r="H7" s="37" t="s">
        <v>63</v>
      </c>
      <c r="I7" s="40">
        <f>70+120</f>
        <v>190</v>
      </c>
      <c r="J7" s="39">
        <f t="shared" si="0"/>
        <v>977.89</v>
      </c>
      <c r="K7" s="30"/>
      <c r="L7" s="31"/>
      <c r="M7" s="32"/>
      <c r="O7" s="1">
        <v>87.5</v>
      </c>
      <c r="P7" s="41">
        <v>1766</v>
      </c>
    </row>
    <row r="8" s="1" customFormat="1" ht="18.75" customHeight="1" spans="1:18">
      <c r="A8" s="33">
        <v>3</v>
      </c>
      <c r="B8" s="42" t="s">
        <v>249</v>
      </c>
      <c r="C8" s="35">
        <v>10.84</v>
      </c>
      <c r="D8" s="35"/>
      <c r="E8" s="35"/>
      <c r="F8" s="35"/>
      <c r="G8" s="36">
        <f>+SUM(C8:F8)</f>
        <v>10.84</v>
      </c>
      <c r="H8" s="37" t="s">
        <v>63</v>
      </c>
      <c r="I8" s="40">
        <f>38+90</f>
        <v>128</v>
      </c>
      <c r="J8" s="39">
        <f t="shared" si="0"/>
        <v>846.88</v>
      </c>
      <c r="K8" s="30"/>
      <c r="L8" s="31"/>
      <c r="M8" s="32"/>
      <c r="O8" s="1">
        <v>12.98</v>
      </c>
      <c r="R8" s="1">
        <v>234.3</v>
      </c>
    </row>
    <row r="9" s="1" customFormat="1" ht="18.75" customHeight="1" spans="1:18">
      <c r="A9" s="33">
        <v>4</v>
      </c>
      <c r="B9" s="42" t="s">
        <v>250</v>
      </c>
      <c r="C9" s="35">
        <v>17.93</v>
      </c>
      <c r="D9" s="35"/>
      <c r="E9" s="35"/>
      <c r="F9" s="35"/>
      <c r="G9" s="36">
        <f>+SUM(C9:F9)</f>
        <v>17.93</v>
      </c>
      <c r="H9" s="37" t="s">
        <v>63</v>
      </c>
      <c r="I9" s="43">
        <f>66+100</f>
        <v>166</v>
      </c>
      <c r="J9" s="39">
        <f t="shared" si="0"/>
        <v>1080.12</v>
      </c>
      <c r="K9" s="30"/>
      <c r="L9" s="31"/>
      <c r="M9" s="32"/>
      <c r="O9" s="1">
        <v>9</v>
      </c>
      <c r="R9" s="1">
        <v>165.04</v>
      </c>
    </row>
    <row r="10" s="1" customFormat="1" ht="18.75" customHeight="1" spans="1:18">
      <c r="A10" s="33">
        <v>5</v>
      </c>
      <c r="B10" s="42" t="s">
        <v>251</v>
      </c>
      <c r="C10" s="35">
        <v>163.92</v>
      </c>
      <c r="D10" s="35"/>
      <c r="E10" s="35"/>
      <c r="F10" s="35"/>
      <c r="G10" s="36">
        <f>+SUM(C10:F10)</f>
        <v>163.92</v>
      </c>
      <c r="H10" s="37" t="s">
        <v>63</v>
      </c>
      <c r="I10" s="43">
        <f>142+385+1288+407</f>
        <v>2222</v>
      </c>
      <c r="J10" s="39">
        <f t="shared" si="0"/>
        <v>737.71</v>
      </c>
      <c r="K10" s="30"/>
      <c r="L10" s="31"/>
      <c r="M10" s="32"/>
      <c r="O10" s="1">
        <f>42.52+17.74</f>
        <v>60.26</v>
      </c>
      <c r="R10" s="1">
        <f>+R8-R9</f>
        <v>69.26</v>
      </c>
    </row>
    <row r="11" ht="21" customHeight="1" spans="1:18">
      <c r="A11" s="44" t="s">
        <v>214</v>
      </c>
      <c r="B11" s="45" t="s">
        <v>7</v>
      </c>
      <c r="C11" s="46"/>
      <c r="D11" s="46"/>
      <c r="E11" s="46"/>
      <c r="F11" s="47">
        <f>+F12+SUM(F13:F29)</f>
        <v>43.47</v>
      </c>
      <c r="G11" s="47">
        <f>+G12+SUM(G13:G29)</f>
        <v>43.47</v>
      </c>
      <c r="H11" s="27" t="s">
        <v>63</v>
      </c>
      <c r="I11" s="28">
        <v>3063</v>
      </c>
      <c r="J11" s="29">
        <f t="shared" si="0"/>
        <v>141.92</v>
      </c>
      <c r="K11" s="48"/>
      <c r="L11" s="49"/>
      <c r="M11" s="50"/>
      <c r="N11" s="50"/>
    </row>
    <row r="12" ht="16.5" customHeight="1" spans="1:18">
      <c r="A12" s="51">
        <v>1</v>
      </c>
      <c r="B12" s="52" t="s">
        <v>14</v>
      </c>
      <c r="C12" s="53"/>
      <c r="D12" s="53"/>
      <c r="E12" s="53"/>
      <c r="F12" s="54"/>
      <c r="G12" s="54"/>
      <c r="H12" s="54"/>
      <c r="I12" s="54"/>
      <c r="J12" s="54"/>
      <c r="K12" s="55"/>
      <c r="L12" s="54"/>
      <c r="M12" s="56"/>
      <c r="N12" s="56"/>
    </row>
    <row r="13" ht="16.5" customHeight="1" spans="1:18">
      <c r="A13" s="51">
        <v>2</v>
      </c>
      <c r="B13" s="57" t="s">
        <v>72</v>
      </c>
      <c r="C13" s="58" t="s">
        <v>73</v>
      </c>
      <c r="D13" s="58"/>
      <c r="E13" s="58"/>
      <c r="F13" s="59">
        <f>+ROUND(0+(G5-0)*0.02,2)</f>
        <v>5.12</v>
      </c>
      <c r="G13" s="59">
        <f t="shared" ref="G13:G19" si="1">F13</f>
        <v>5.12</v>
      </c>
      <c r="H13" s="54"/>
      <c r="I13" s="54"/>
      <c r="J13" s="54"/>
      <c r="K13" s="55"/>
      <c r="L13" s="60"/>
      <c r="M13" s="61"/>
      <c r="N13" s="61"/>
    </row>
    <row r="14" ht="16.5" customHeight="1" spans="1:18">
      <c r="A14" s="51">
        <v>3</v>
      </c>
      <c r="B14" s="57" t="s">
        <v>75</v>
      </c>
      <c r="C14" s="58" t="s">
        <v>252</v>
      </c>
      <c r="D14" s="58"/>
      <c r="E14" s="58"/>
      <c r="F14" s="59">
        <v>6.4</v>
      </c>
      <c r="G14" s="59">
        <f t="shared" si="1"/>
        <v>6.4</v>
      </c>
      <c r="H14" s="54"/>
      <c r="I14" s="54"/>
      <c r="J14" s="54"/>
      <c r="K14" s="55"/>
      <c r="L14" s="60"/>
      <c r="M14" s="61"/>
      <c r="N14" s="61" t="s">
        <v>253</v>
      </c>
    </row>
    <row r="15" ht="16.5" customHeight="1" spans="1:18">
      <c r="A15" s="51">
        <v>4</v>
      </c>
      <c r="B15" s="57" t="s">
        <v>78</v>
      </c>
      <c r="C15" s="58" t="s">
        <v>252</v>
      </c>
      <c r="D15" s="58"/>
      <c r="E15" s="58"/>
      <c r="F15" s="62">
        <v>1.26</v>
      </c>
      <c r="G15" s="62">
        <f t="shared" si="1"/>
        <v>1.26</v>
      </c>
      <c r="H15" s="54"/>
      <c r="I15" s="54"/>
      <c r="J15" s="54"/>
      <c r="K15" s="55"/>
      <c r="L15" s="60"/>
      <c r="M15" s="61"/>
      <c r="N15" s="61" t="s">
        <v>253</v>
      </c>
    </row>
    <row r="16" ht="16.5" customHeight="1" spans="1:18">
      <c r="A16" s="51">
        <v>5</v>
      </c>
      <c r="B16" s="57" t="s">
        <v>81</v>
      </c>
      <c r="C16" s="58" t="s">
        <v>82</v>
      </c>
      <c r="D16" s="58"/>
      <c r="E16" s="58"/>
      <c r="F16" s="59">
        <f>ROUND((2+(5-2)/1000*G5+1+(2.5-1)/1000*G5)*1*1,2)</f>
        <v>4.15</v>
      </c>
      <c r="G16" s="59">
        <f t="shared" si="1"/>
        <v>4.15</v>
      </c>
      <c r="H16" s="54"/>
      <c r="I16" s="54"/>
      <c r="J16" s="54"/>
      <c r="K16" s="55"/>
      <c r="L16" s="60"/>
      <c r="M16" s="61"/>
      <c r="N16" s="61"/>
    </row>
    <row r="17" ht="16.5" hidden="1" customHeight="1" spans="1:14">
      <c r="A17" s="51">
        <v>6</v>
      </c>
      <c r="B17" s="57" t="s">
        <v>84</v>
      </c>
      <c r="C17" s="58"/>
      <c r="D17" s="58"/>
      <c r="E17" s="58"/>
      <c r="F17" s="62"/>
      <c r="G17" s="62"/>
      <c r="H17" s="54"/>
      <c r="I17" s="54"/>
      <c r="J17" s="54"/>
      <c r="K17" s="55"/>
      <c r="L17" s="60"/>
      <c r="M17" s="61"/>
      <c r="N17" s="61"/>
    </row>
    <row r="18" ht="16.5" customHeight="1" spans="1:14">
      <c r="A18" s="51">
        <v>7</v>
      </c>
      <c r="B18" s="57" t="s">
        <v>87</v>
      </c>
      <c r="C18" s="58" t="s">
        <v>252</v>
      </c>
      <c r="D18" s="58"/>
      <c r="E18" s="58"/>
      <c r="F18" s="59">
        <v>13.56</v>
      </c>
      <c r="G18" s="59">
        <f t="shared" si="1"/>
        <v>13.56</v>
      </c>
      <c r="H18" s="54"/>
      <c r="I18" s="54"/>
      <c r="J18" s="54"/>
      <c r="K18" s="55"/>
      <c r="L18" s="60"/>
      <c r="M18" s="61"/>
      <c r="N18" s="61" t="s">
        <v>253</v>
      </c>
    </row>
    <row r="19" ht="16.5" hidden="1" customHeight="1" spans="1:14">
      <c r="A19" s="51">
        <v>8</v>
      </c>
      <c r="B19" s="57" t="s">
        <v>90</v>
      </c>
      <c r="C19" s="58"/>
      <c r="D19" s="58"/>
      <c r="E19" s="58"/>
      <c r="F19" s="59"/>
      <c r="G19" s="59"/>
      <c r="H19" s="54"/>
      <c r="I19" s="54"/>
      <c r="J19" s="54"/>
      <c r="K19" s="55"/>
      <c r="L19" s="60"/>
      <c r="M19" s="61"/>
      <c r="N19" s="61"/>
    </row>
    <row r="20" ht="16.5" customHeight="1" spans="1:14">
      <c r="A20" s="51">
        <v>9</v>
      </c>
      <c r="B20" s="57" t="s">
        <v>97</v>
      </c>
      <c r="C20" s="58" t="s">
        <v>98</v>
      </c>
      <c r="D20" s="58"/>
      <c r="E20" s="58"/>
      <c r="F20" s="62">
        <f>ROUND($G$5*0.3%,2)</f>
        <v>0.77</v>
      </c>
      <c r="G20" s="62">
        <f t="shared" ref="G20:G25" si="2">F20</f>
        <v>0.77</v>
      </c>
      <c r="H20" s="54"/>
      <c r="I20" s="54"/>
      <c r="J20" s="54"/>
      <c r="K20" s="55"/>
      <c r="L20" s="60"/>
      <c r="M20" s="61"/>
      <c r="N20" s="61"/>
    </row>
    <row r="21" ht="16.5" customHeight="1" spans="1:14">
      <c r="A21" s="51">
        <v>10</v>
      </c>
      <c r="B21" s="57" t="s">
        <v>100</v>
      </c>
      <c r="C21" s="58" t="s">
        <v>102</v>
      </c>
      <c r="D21" s="58"/>
      <c r="E21" s="58"/>
      <c r="F21" s="62">
        <f>ROUND($G$5*0.5%,2)</f>
        <v>1.28</v>
      </c>
      <c r="G21" s="62">
        <f t="shared" si="2"/>
        <v>1.28</v>
      </c>
      <c r="H21" s="54"/>
      <c r="I21" s="54"/>
      <c r="J21" s="54"/>
      <c r="K21" s="55"/>
      <c r="L21" s="60"/>
      <c r="M21" s="61"/>
      <c r="N21" s="61"/>
    </row>
    <row r="22" ht="16.5" customHeight="1" spans="1:14">
      <c r="A22" s="51">
        <v>11</v>
      </c>
      <c r="B22" s="57" t="s">
        <v>101</v>
      </c>
      <c r="C22" s="63" t="s">
        <v>254</v>
      </c>
      <c r="D22" s="63"/>
      <c r="E22" s="63"/>
      <c r="F22" s="62">
        <f>ROUND($G$5*0.45%,2)</f>
        <v>1.15</v>
      </c>
      <c r="G22" s="62">
        <f t="shared" si="2"/>
        <v>1.15</v>
      </c>
      <c r="H22" s="54"/>
      <c r="I22" s="54"/>
      <c r="J22" s="54"/>
      <c r="K22" s="55"/>
      <c r="L22" s="60"/>
      <c r="M22" s="61"/>
      <c r="N22" s="61"/>
    </row>
    <row r="23" ht="16.5" hidden="1" customHeight="1" spans="1:14">
      <c r="A23" s="51">
        <v>12</v>
      </c>
      <c r="B23" s="57" t="s">
        <v>106</v>
      </c>
      <c r="C23" s="58"/>
      <c r="D23" s="58"/>
      <c r="E23" s="58"/>
      <c r="F23" s="62"/>
      <c r="G23" s="62"/>
      <c r="H23" s="54"/>
      <c r="I23" s="54"/>
      <c r="J23" s="54"/>
      <c r="K23" s="55"/>
      <c r="L23" s="60"/>
      <c r="M23" s="61"/>
      <c r="N23" s="61" t="s">
        <v>253</v>
      </c>
    </row>
    <row r="24" ht="16.5" hidden="1" customHeight="1" spans="1:14">
      <c r="A24" s="51">
        <v>13</v>
      </c>
      <c r="B24" s="57" t="s">
        <v>109</v>
      </c>
      <c r="C24" s="58" t="s">
        <v>110</v>
      </c>
      <c r="D24" s="58"/>
      <c r="E24" s="58"/>
      <c r="F24" s="59"/>
      <c r="G24" s="59"/>
      <c r="H24" s="54"/>
      <c r="I24" s="54"/>
      <c r="J24" s="54"/>
      <c r="K24" s="55"/>
      <c r="L24" s="60"/>
      <c r="M24" s="61"/>
      <c r="N24" s="61"/>
    </row>
    <row r="25" ht="16.5" hidden="1" customHeight="1" spans="1:14">
      <c r="A25" s="51">
        <v>14</v>
      </c>
      <c r="B25" s="57" t="s">
        <v>255</v>
      </c>
      <c r="C25" s="58" t="s">
        <v>256</v>
      </c>
      <c r="D25" s="58"/>
      <c r="E25" s="58"/>
      <c r="F25" s="62"/>
      <c r="G25" s="62"/>
      <c r="H25" s="54"/>
      <c r="I25" s="54"/>
      <c r="J25" s="54"/>
      <c r="K25" s="55"/>
      <c r="L25" s="60"/>
      <c r="M25" s="61"/>
      <c r="N25" s="61"/>
    </row>
    <row r="26" ht="16.5" customHeight="1" spans="1:14">
      <c r="A26" s="51">
        <v>18</v>
      </c>
      <c r="B26" s="57" t="s">
        <v>257</v>
      </c>
      <c r="C26" s="58" t="s">
        <v>258</v>
      </c>
      <c r="D26" s="58"/>
      <c r="E26" s="58"/>
      <c r="F26" s="62">
        <f>+ROUND(G5*1.2/100,2)</f>
        <v>3.07</v>
      </c>
      <c r="G26" s="62">
        <f>+F26</f>
        <v>3.07</v>
      </c>
      <c r="H26" s="54"/>
      <c r="I26" s="54"/>
      <c r="J26" s="54"/>
      <c r="K26" s="55"/>
      <c r="L26" s="60"/>
      <c r="M26" s="61"/>
      <c r="N26" s="61"/>
    </row>
    <row r="27" ht="16.5" hidden="1" customHeight="1" spans="1:14">
      <c r="A27" s="51">
        <v>19</v>
      </c>
      <c r="B27" s="57" t="s">
        <v>259</v>
      </c>
      <c r="C27" s="58"/>
      <c r="D27" s="58"/>
      <c r="E27" s="58"/>
      <c r="F27" s="62"/>
      <c r="G27" s="62"/>
      <c r="H27" s="54"/>
      <c r="I27" s="54"/>
      <c r="J27" s="54"/>
      <c r="K27" s="55"/>
      <c r="L27" s="60"/>
      <c r="M27" s="61"/>
      <c r="N27" s="61"/>
    </row>
    <row r="28" ht="16.5" customHeight="1" spans="1:14">
      <c r="A28" s="51">
        <v>20</v>
      </c>
      <c r="B28" s="57" t="s">
        <v>260</v>
      </c>
      <c r="C28" s="58" t="s">
        <v>221</v>
      </c>
      <c r="D28" s="58"/>
      <c r="E28" s="58"/>
      <c r="F28" s="62">
        <f>+G28</f>
        <v>6.4</v>
      </c>
      <c r="G28" s="62">
        <v>6.4</v>
      </c>
      <c r="H28" s="54"/>
      <c r="I28" s="54"/>
      <c r="J28" s="54"/>
      <c r="K28" s="55"/>
      <c r="L28" s="60"/>
      <c r="M28" s="61"/>
      <c r="N28" s="61"/>
    </row>
    <row r="29" ht="16.5" customHeight="1" spans="1:14">
      <c r="A29" s="51">
        <v>21</v>
      </c>
      <c r="B29" s="57" t="s">
        <v>261</v>
      </c>
      <c r="C29" s="58" t="s">
        <v>262</v>
      </c>
      <c r="D29" s="58"/>
      <c r="E29" s="58"/>
      <c r="F29" s="62">
        <f>+ROUND(G5*0.1*1.2%,2)</f>
        <v>0.31</v>
      </c>
      <c r="G29" s="62">
        <f>+F29</f>
        <v>0.31</v>
      </c>
      <c r="H29" s="54"/>
      <c r="I29" s="54"/>
      <c r="J29" s="54"/>
      <c r="K29" s="55"/>
      <c r="L29" s="60"/>
      <c r="M29" s="61"/>
      <c r="N29" s="61"/>
    </row>
    <row r="30" ht="18" customHeight="1" spans="1:14">
      <c r="A30" s="64" t="s">
        <v>222</v>
      </c>
      <c r="B30" s="65" t="s">
        <v>223</v>
      </c>
      <c r="C30" s="66"/>
      <c r="D30" s="66"/>
      <c r="E30" s="66"/>
      <c r="F30" s="66">
        <f>SUM(F31:F32)</f>
        <v>14.98</v>
      </c>
      <c r="G30" s="66">
        <f>F30</f>
        <v>14.98</v>
      </c>
      <c r="H30" s="64"/>
      <c r="I30" s="64"/>
      <c r="J30" s="64"/>
      <c r="K30" s="30"/>
      <c r="L30" s="64"/>
      <c r="M30" s="67"/>
      <c r="N30" s="67"/>
    </row>
    <row r="31" ht="18" customHeight="1" spans="1:14">
      <c r="A31" s="68">
        <v>1</v>
      </c>
      <c r="B31" s="69" t="s">
        <v>224</v>
      </c>
      <c r="C31" s="70" t="s">
        <v>225</v>
      </c>
      <c r="D31" s="70"/>
      <c r="E31" s="70"/>
      <c r="F31" s="70">
        <f>ROUND((G5+G11)*5%,2)</f>
        <v>14.98</v>
      </c>
      <c r="G31" s="70">
        <f>F31</f>
        <v>14.98</v>
      </c>
      <c r="H31" s="68"/>
      <c r="I31" s="68"/>
      <c r="J31" s="68"/>
      <c r="K31" s="71"/>
      <c r="L31" s="72"/>
      <c r="M31" s="73"/>
      <c r="N31" s="73"/>
    </row>
    <row r="32" ht="18" customHeight="1" spans="1:14">
      <c r="A32" s="68">
        <v>2</v>
      </c>
      <c r="B32" s="69" t="s">
        <v>226</v>
      </c>
      <c r="C32" s="70"/>
      <c r="D32" s="70"/>
      <c r="E32" s="70"/>
      <c r="F32" s="70"/>
      <c r="G32" s="70"/>
      <c r="H32" s="68"/>
      <c r="I32" s="68"/>
      <c r="J32" s="68"/>
      <c r="K32" s="71"/>
      <c r="L32" s="68"/>
      <c r="M32" s="74"/>
      <c r="N32" s="74"/>
    </row>
    <row r="33" ht="18" customHeight="1" spans="1:14">
      <c r="A33" s="64" t="s">
        <v>227</v>
      </c>
      <c r="B33" s="65" t="s">
        <v>228</v>
      </c>
      <c r="C33" s="66">
        <f>C5</f>
        <v>256.18</v>
      </c>
      <c r="D33" s="66">
        <f>D5</f>
        <v>0</v>
      </c>
      <c r="E33" s="66">
        <f>E5</f>
        <v>0</v>
      </c>
      <c r="F33" s="66">
        <f>+F30</f>
        <v>14.98</v>
      </c>
      <c r="G33" s="66">
        <f>G5+G11+G30</f>
        <v>314.63</v>
      </c>
      <c r="H33" s="75"/>
      <c r="I33" s="76"/>
      <c r="J33" s="29"/>
      <c r="K33" s="30"/>
      <c r="L33" s="64"/>
      <c r="M33" s="67"/>
      <c r="N33" s="67"/>
    </row>
    <row r="34" ht="18" customHeight="1" spans="1:14">
      <c r="A34" s="64" t="s">
        <v>229</v>
      </c>
      <c r="B34" s="65" t="s">
        <v>230</v>
      </c>
      <c r="C34" s="66"/>
      <c r="D34" s="66"/>
      <c r="E34" s="66"/>
      <c r="F34" s="66"/>
      <c r="G34" s="66"/>
      <c r="H34" s="64"/>
      <c r="I34" s="76"/>
      <c r="J34" s="64"/>
      <c r="K34" s="30"/>
      <c r="L34" s="64"/>
      <c r="M34" s="67"/>
      <c r="N34" s="67"/>
    </row>
    <row r="35" ht="18" customHeight="1" spans="1:14">
      <c r="A35" s="64" t="s">
        <v>231</v>
      </c>
      <c r="B35" s="65" t="s">
        <v>232</v>
      </c>
      <c r="C35" s="66"/>
      <c r="D35" s="66"/>
      <c r="E35" s="66"/>
      <c r="F35" s="66"/>
      <c r="G35" s="66"/>
      <c r="H35" s="64"/>
      <c r="I35" s="76"/>
      <c r="J35" s="64"/>
      <c r="K35" s="30"/>
      <c r="L35" s="64"/>
      <c r="M35" s="67"/>
      <c r="N35" s="67"/>
    </row>
    <row r="36" ht="18" customHeight="1" spans="1:14">
      <c r="A36" s="64" t="s">
        <v>233</v>
      </c>
      <c r="B36" s="65" t="s">
        <v>234</v>
      </c>
      <c r="C36" s="66"/>
      <c r="D36" s="66"/>
      <c r="E36" s="66"/>
      <c r="F36" s="66"/>
      <c r="G36" s="66"/>
      <c r="H36" s="64"/>
      <c r="I36" s="76"/>
      <c r="J36" s="64"/>
      <c r="K36" s="30"/>
      <c r="L36" s="64"/>
      <c r="M36" s="67"/>
      <c r="N36" s="67"/>
    </row>
    <row r="37" ht="18" customHeight="1" spans="1:14">
      <c r="A37" s="64" t="s">
        <v>235</v>
      </c>
      <c r="B37" s="65" t="s">
        <v>236</v>
      </c>
      <c r="C37" s="66">
        <f t="shared" ref="C37:G37" si="3">C33+C34+C35+C36</f>
        <v>256.18</v>
      </c>
      <c r="D37" s="66">
        <f t="shared" si="3"/>
        <v>0</v>
      </c>
      <c r="E37" s="66">
        <f t="shared" si="3"/>
        <v>0</v>
      </c>
      <c r="F37" s="66">
        <f t="shared" si="3"/>
        <v>14.98</v>
      </c>
      <c r="G37" s="66">
        <f t="shared" si="3"/>
        <v>314.63</v>
      </c>
      <c r="H37" s="75"/>
      <c r="I37" s="76"/>
      <c r="J37" s="29"/>
      <c r="K37" s="30"/>
      <c r="L37" s="64"/>
      <c r="M37" s="67"/>
      <c r="N37" s="67"/>
    </row>
    <row r="40" spans="1:14">
      <c r="A40" s="77"/>
    </row>
    <row r="46" spans="1:14">
      <c r="B46" s="78"/>
      <c r="C46" s="78"/>
      <c r="D46" s="78"/>
      <c r="E46" s="78"/>
      <c r="F46" s="78"/>
      <c r="G46" s="78"/>
      <c r="H46" s="78"/>
      <c r="I46" s="78"/>
      <c r="J46" s="79"/>
    </row>
    <row r="47" spans="1:14">
      <c r="B47" s="80"/>
      <c r="C47" s="80"/>
      <c r="D47" s="80"/>
      <c r="E47" s="80"/>
      <c r="F47" s="80"/>
      <c r="G47" s="80"/>
      <c r="H47" s="80"/>
      <c r="I47" s="80"/>
      <c r="J47" s="79"/>
    </row>
    <row r="48" spans="1:14">
      <c r="B48" s="80"/>
      <c r="C48" s="80"/>
      <c r="D48" s="80"/>
      <c r="E48" s="80"/>
      <c r="F48" s="80"/>
      <c r="G48" s="80"/>
      <c r="H48" s="80"/>
      <c r="I48" s="80"/>
      <c r="J48" s="79"/>
    </row>
    <row r="49" spans="1:10">
      <c r="B49" s="80"/>
      <c r="C49" s="80"/>
      <c r="D49" s="80"/>
      <c r="E49" s="80"/>
      <c r="F49" s="80"/>
      <c r="G49" s="80"/>
      <c r="H49" s="80"/>
      <c r="I49" s="80"/>
      <c r="J49" s="79"/>
    </row>
    <row r="50" spans="1:10">
      <c r="B50" s="80"/>
      <c r="C50" s="80"/>
      <c r="D50" s="80"/>
      <c r="E50" s="80"/>
      <c r="F50" s="80"/>
      <c r="G50" s="80"/>
      <c r="H50" s="80"/>
      <c r="I50" s="80"/>
      <c r="J50" s="79"/>
    </row>
    <row r="51" spans="1:10">
      <c r="B51" s="80"/>
      <c r="C51" s="80"/>
      <c r="D51" s="80"/>
      <c r="E51" s="80"/>
      <c r="F51" s="80"/>
      <c r="G51" s="80"/>
      <c r="H51" s="80"/>
      <c r="I51" s="81"/>
      <c r="J51" s="79"/>
    </row>
    <row r="52" spans="1:10">
      <c r="B52" s="80"/>
      <c r="C52" s="80"/>
      <c r="D52" s="80"/>
      <c r="E52" s="80"/>
      <c r="F52" s="80"/>
      <c r="G52" s="80"/>
      <c r="H52" s="80"/>
      <c r="I52" s="80"/>
      <c r="J52" s="79"/>
    </row>
    <row r="53" spans="1:10">
      <c r="B53" s="82"/>
      <c r="C53" s="82"/>
      <c r="D53" s="82"/>
      <c r="E53" s="82"/>
      <c r="F53" s="82"/>
      <c r="G53" s="82"/>
      <c r="H53" s="82"/>
      <c r="I53" s="82"/>
      <c r="J53" s="79"/>
    </row>
    <row r="59" spans="1:10">
      <c r="A59" s="4"/>
      <c r="B59" s="4"/>
    </row>
    <row r="60" spans="1:10">
      <c r="A60" s="4"/>
      <c r="B60" s="4"/>
    </row>
    <row r="61" spans="1:10">
      <c r="A61" s="4"/>
      <c r="B61" s="4"/>
    </row>
    <row r="62" spans="1:10">
      <c r="A62" s="4"/>
      <c r="B62" s="4"/>
    </row>
    <row r="63" spans="1:10">
      <c r="A63" s="4"/>
      <c r="B63" s="4"/>
    </row>
    <row r="64" spans="1:10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</sheetData>
  <mergeCells count="28">
    <mergeCell ref="A1:L1"/>
    <mergeCell ref="C3:G3"/>
    <mergeCell ref="H3:J3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:A4"/>
    <mergeCell ref="B3:B4"/>
    <mergeCell ref="K3:K4"/>
    <mergeCell ref="L3:L4"/>
  </mergeCells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二类费用计算表</vt:lpstr>
      <vt:lpstr>投资估算表修编（底稿）</vt:lpstr>
      <vt:lpstr>投资估算表修编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刹华</cp:lastModifiedBy>
  <dcterms:created xsi:type="dcterms:W3CDTF">2006-09-16T00:00:00Z</dcterms:created>
  <dcterms:modified xsi:type="dcterms:W3CDTF">2026-01-14T01:29:32Z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AB7267F5358A449EB933C30A4EA35020_13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