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430" windowHeight="12375" tabRatio="719" firstSheet="3" activeTab="3"/>
  </bookViews>
  <sheets>
    <sheet name="投资估算表修编（底稿）" sheetId="4" state="hidden" r:id="rId1"/>
    <sheet name="投资概算表 (方案二雨污全新)" sheetId="11" state="hidden" r:id="rId2"/>
    <sheet name="投资概算表（方案三雨修污新）" sheetId="6" state="hidden" r:id="rId3"/>
    <sheet name="城区" sheetId="13" r:id="rId4"/>
  </sheets>
  <definedNames>
    <definedName name="_xlnm._FilterDatabase" localSheetId="1" hidden="1">'投资概算表 (方案二雨污全新)'!$3:$468</definedName>
    <definedName name="_xlnm._FilterDatabase" localSheetId="2" hidden="1">'投资概算表（方案三雨修污新）'!$3:$468</definedName>
    <definedName name="_xlnm.Print_Area" localSheetId="1">'投资概算表 (方案二雨污全新)'!$A$1:$M$453</definedName>
    <definedName name="_xlnm.Print_Area" localSheetId="2">'投资概算表（方案三雨修污新）'!$A$1:$M$453</definedName>
    <definedName name="_xlnm.Print_Titles" localSheetId="1">'投资概算表 (方案二雨污全新)'!$1:$3</definedName>
    <definedName name="_xlnm.Print_Titles" localSheetId="2">'投资概算表（方案三雨修污新）'!$1:$3</definedName>
    <definedName name="_xlnm.Print_Area" localSheetId="3">城区!$A$1:$O$30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<sst xmlns="http://schemas.openxmlformats.org/spreadsheetml/2006/main" count="2261" uniqueCount="349">
  <si>
    <t>漳州龙海工程总估算表</t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</si>
  <si>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</si>
  <si>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工程或费用名称</t>
    </r>
  </si>
  <si>
    <r>
      <rPr>
        <sz val="10"/>
        <rFont val="宋体"/>
        <charset val="134"/>
      </rPr>
      <t>估算金额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（万元）</t>
    </r>
  </si>
  <si>
    <r>
      <rPr>
        <sz val="10"/>
        <rFont val="宋体"/>
        <charset val="134"/>
      </rPr>
      <t>技术经济指标</t>
    </r>
  </si>
  <si>
    <r>
      <rPr>
        <sz val="10"/>
        <rFont val="宋体"/>
        <charset val="134"/>
      </rPr>
      <t>各项费用比例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％</t>
    </r>
    <r>
      <rPr>
        <sz val="10"/>
        <rFont val="Times New Roman"/>
        <charset val="134"/>
      </rPr>
      <t>)</t>
    </r>
  </si>
  <si>
    <t>备注</t>
  </si>
  <si>
    <r>
      <rPr>
        <sz val="10"/>
        <rFont val="宋体"/>
        <charset val="134"/>
      </rPr>
      <t>建筑工程</t>
    </r>
  </si>
  <si>
    <r>
      <rPr>
        <sz val="10"/>
        <rFont val="宋体"/>
        <charset val="134"/>
      </rPr>
      <t>安装工程</t>
    </r>
  </si>
  <si>
    <r>
      <rPr>
        <sz val="10"/>
        <rFont val="宋体"/>
        <charset val="134"/>
      </rPr>
      <t>设备购置费</t>
    </r>
  </si>
  <si>
    <r>
      <rPr>
        <sz val="10"/>
        <rFont val="宋体"/>
        <charset val="134"/>
      </rPr>
      <t>其他费用</t>
    </r>
  </si>
  <si>
    <r>
      <rPr>
        <sz val="10"/>
        <rFont val="宋体"/>
        <charset val="134"/>
      </rPr>
      <t>合计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</si>
  <si>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</si>
  <si>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数量</t>
    </r>
  </si>
  <si>
    <r>
      <rPr>
        <sz val="10"/>
        <rFont val="宋体"/>
        <charset val="134"/>
      </rPr>
      <t>单位价值（元）</t>
    </r>
  </si>
  <si>
    <t>（一）</t>
  </si>
  <si>
    <t>第一部分 工程费用</t>
  </si>
  <si>
    <t>km</t>
  </si>
  <si>
    <t>求知路</t>
  </si>
  <si>
    <t>一</t>
  </si>
  <si>
    <t>路基工程</t>
  </si>
  <si>
    <t>清表</t>
  </si>
  <si>
    <t>m3</t>
  </si>
  <si>
    <t>路基土石方(填方)</t>
  </si>
  <si>
    <t>路基土石方（挖方）</t>
  </si>
  <si>
    <t>清淤换填（中粗砂）</t>
  </si>
  <si>
    <t>破除旧路</t>
  </si>
  <si>
    <t>m2</t>
  </si>
  <si>
    <t>破除屋前铺装</t>
  </si>
  <si>
    <t>植草护坡(边坡)</t>
  </si>
  <si>
    <t>围堰</t>
  </si>
  <si>
    <t>砂砾垫层</t>
  </si>
  <si>
    <t>土工格栅</t>
  </si>
  <si>
    <t>水泥搅拌桩</t>
  </si>
  <si>
    <t>m</t>
  </si>
  <si>
    <t>整平土方及沉降补偿方</t>
  </si>
  <si>
    <t>CFG桩</t>
  </si>
  <si>
    <t>钢筋笼</t>
  </si>
  <si>
    <t>t</t>
  </si>
  <si>
    <t>二</t>
  </si>
  <si>
    <t>路面工程</t>
  </si>
  <si>
    <t>沥青混凝土路面（机动车道）</t>
  </si>
  <si>
    <t>人行道透水砖铺装</t>
  </si>
  <si>
    <t>路缘石（立缘石）</t>
  </si>
  <si>
    <t>路缘石（平缘石）</t>
  </si>
  <si>
    <t>三</t>
  </si>
  <si>
    <t>交通及安全设施</t>
  </si>
  <si>
    <t>交通标线</t>
  </si>
  <si>
    <t>单柱标志牌</t>
  </si>
  <si>
    <t>个</t>
  </si>
  <si>
    <t>悬臂标志牌</t>
  </si>
  <si>
    <t>机动车信号灯</t>
  </si>
  <si>
    <t>套</t>
  </si>
  <si>
    <t>人行信号灯</t>
  </si>
  <si>
    <t>交通监控设备</t>
  </si>
  <si>
    <t>组</t>
  </si>
  <si>
    <t>镀锌管</t>
  </si>
  <si>
    <t>pvc管</t>
  </si>
  <si>
    <t>交叉口人行分隔栏杆</t>
  </si>
  <si>
    <t>四</t>
  </si>
  <si>
    <t>桥涵工程</t>
  </si>
  <si>
    <t>2-3.5x2钢筋砼箱涵</t>
  </si>
  <si>
    <t>2x16装配式预应力混凝土空心板梁</t>
  </si>
  <si>
    <t>五</t>
  </si>
  <si>
    <t>给水工程</t>
  </si>
  <si>
    <t>球墨铸铁管DN150</t>
  </si>
  <si>
    <t>球墨铸铁管DN200</t>
  </si>
  <si>
    <t>六</t>
  </si>
  <si>
    <t>雨水工程</t>
  </si>
  <si>
    <t>DN600II级钢筋混凝土管（H=2.0m）</t>
  </si>
  <si>
    <t>DN600II级钢筋混凝土管（H=2.5m）</t>
  </si>
  <si>
    <t>DN1200III级钢筋混凝土管（H=3.0m）</t>
  </si>
  <si>
    <t>七</t>
  </si>
  <si>
    <t>污水工程</t>
  </si>
  <si>
    <t>DN300球墨铸铁污水管（H=4.5m）</t>
  </si>
  <si>
    <t>DN300球墨铸铁污水管（H=5.0m）</t>
  </si>
  <si>
    <t>DN400球墨铸铁污水管（H=4.5m）</t>
  </si>
  <si>
    <t>钢板桩支护（H=4.5m）</t>
  </si>
  <si>
    <t>钢板桩支护（H=5.0m）</t>
  </si>
  <si>
    <t>八</t>
  </si>
  <si>
    <t>照明工程</t>
  </si>
  <si>
    <t>路灯箱变</t>
  </si>
  <si>
    <t>机动车道灯（LED灯）</t>
  </si>
  <si>
    <t>交叉口中杆灯（LED灯）</t>
  </si>
  <si>
    <t>九</t>
  </si>
  <si>
    <t>电力工程</t>
  </si>
  <si>
    <t>φ150BWFRP管</t>
  </si>
  <si>
    <t>电力直通井</t>
  </si>
  <si>
    <t>电力分支井</t>
  </si>
  <si>
    <t>十</t>
  </si>
  <si>
    <t>通信工程</t>
  </si>
  <si>
    <t>∅100镀锌钢管</t>
  </si>
  <si>
    <t>通信井</t>
  </si>
  <si>
    <t>∅200PVC管</t>
  </si>
  <si>
    <t>十一</t>
  </si>
  <si>
    <t>绿化工程</t>
  </si>
  <si>
    <t>乔木</t>
  </si>
  <si>
    <t>株</t>
  </si>
  <si>
    <t>（二）</t>
  </si>
  <si>
    <t>工程建设其他费用</t>
  </si>
  <si>
    <t>建设用地费</t>
  </si>
  <si>
    <t>被征地农民社会保障金</t>
  </si>
  <si>
    <t>亩</t>
  </si>
  <si>
    <t>土地征用费</t>
  </si>
  <si>
    <t>1.2.1</t>
  </si>
  <si>
    <t>永久征地</t>
  </si>
  <si>
    <t>1.2.2</t>
  </si>
  <si>
    <t>施工过程临时征地</t>
  </si>
  <si>
    <t>拆迁安置补偿费</t>
  </si>
  <si>
    <t>1.3.1</t>
  </si>
  <si>
    <t>砼房</t>
  </si>
  <si>
    <t xml:space="preserve">m2 </t>
  </si>
  <si>
    <t>1.3.2</t>
  </si>
  <si>
    <t>简易房</t>
  </si>
  <si>
    <t>1.3.3</t>
  </si>
  <si>
    <t>高压电力杆</t>
  </si>
  <si>
    <t>根</t>
  </si>
  <si>
    <t>1.3.4</t>
  </si>
  <si>
    <t>变压器</t>
  </si>
  <si>
    <t>座</t>
  </si>
  <si>
    <t>1.3.5</t>
  </si>
  <si>
    <t>普通电力杆</t>
  </si>
  <si>
    <t>1.3.6</t>
  </si>
  <si>
    <t>电缆</t>
  </si>
  <si>
    <t>1.3.7</t>
  </si>
  <si>
    <t>路灯</t>
  </si>
  <si>
    <t>1.3.8</t>
  </si>
  <si>
    <t>鹏上村娱乐设施（汇总）</t>
  </si>
  <si>
    <t>建设单位管理费</t>
  </si>
  <si>
    <t>榕财建[2016]85号</t>
  </si>
  <si>
    <t>建设工程监理费</t>
  </si>
  <si>
    <t>发改价格[价2007]670号</t>
  </si>
  <si>
    <t>工程造价咨询服务费</t>
  </si>
  <si>
    <t>闽价[2002]房457号</t>
  </si>
  <si>
    <t>建设项目前期工作咨询费</t>
  </si>
  <si>
    <t>国家计委计价格[1999]1283号</t>
  </si>
  <si>
    <t>工程勘察费</t>
  </si>
  <si>
    <t>第一部分工程费用*1%</t>
  </si>
  <si>
    <t>工程设计费</t>
  </si>
  <si>
    <t>计价格[2002]10号</t>
  </si>
  <si>
    <t>环境影响咨询服务费</t>
  </si>
  <si>
    <t>计价格[2002]125号</t>
  </si>
  <si>
    <t>水土保持补偿费</t>
  </si>
  <si>
    <t>闽价费[2017]286</t>
  </si>
  <si>
    <t>劳动安全卫生评审费</t>
  </si>
  <si>
    <t>第一部分工程费用*0.3%</t>
  </si>
  <si>
    <t>建设场地准备及临时设施费</t>
  </si>
  <si>
    <t>工程保险费</t>
  </si>
  <si>
    <t>第一部分工程费用*0.4%</t>
  </si>
  <si>
    <t>地质灾害危险性评估费</t>
  </si>
  <si>
    <t>发改价格[2006]745号文</t>
  </si>
  <si>
    <t>招标代理服务费</t>
  </si>
  <si>
    <t>国家计委计价格[2002]1980号</t>
  </si>
  <si>
    <t>施工图审查费</t>
  </si>
  <si>
    <t>闽价服[2012]237号</t>
  </si>
  <si>
    <t>防雷装置施工跟踪检查、设计技术评价费</t>
  </si>
  <si>
    <t>闽价(2015)242号文</t>
  </si>
  <si>
    <t>软土地基检测费用、试验费</t>
  </si>
  <si>
    <t>暂估</t>
  </si>
  <si>
    <t>疫情防控专项经费</t>
  </si>
  <si>
    <t>榕建价［2020］3号</t>
  </si>
  <si>
    <t>（三）</t>
  </si>
  <si>
    <t>工程预备费</t>
  </si>
  <si>
    <t>基本预备费</t>
  </si>
  <si>
    <t>【（一）+(二）】*5%</t>
  </si>
  <si>
    <t>涨价预备费</t>
  </si>
  <si>
    <t>（四）</t>
  </si>
  <si>
    <t>静态投资合计</t>
  </si>
  <si>
    <t>（五）</t>
  </si>
  <si>
    <t>建设期利息</t>
  </si>
  <si>
    <t>（六）</t>
  </si>
  <si>
    <t>固定资产投资方向调节税</t>
  </si>
  <si>
    <t>（七）</t>
  </si>
  <si>
    <t>铺底流动资金30%</t>
  </si>
  <si>
    <t>（八）</t>
  </si>
  <si>
    <t>建设总资金</t>
  </si>
  <si>
    <t>总估算表</t>
  </si>
  <si>
    <t>宏溪路</t>
  </si>
  <si>
    <t>东长路</t>
  </si>
  <si>
    <t>义溪路</t>
  </si>
  <si>
    <t>吉山路</t>
  </si>
  <si>
    <t>东福路</t>
  </si>
  <si>
    <t>序号</t>
  </si>
  <si>
    <t>工程或费用名称</t>
  </si>
  <si>
    <t>概算金额   （万元）</t>
  </si>
  <si>
    <t>技术经济指标</t>
  </si>
  <si>
    <t>各项费用比例(％)</t>
  </si>
  <si>
    <t>建筑工程</t>
  </si>
  <si>
    <t>安装工程</t>
  </si>
  <si>
    <t>设备购置费</t>
  </si>
  <si>
    <t>其他费用</t>
  </si>
  <si>
    <t>合计</t>
  </si>
  <si>
    <t>单位</t>
  </si>
  <si>
    <t>数量</t>
  </si>
  <si>
    <t>单位价值（元）</t>
  </si>
  <si>
    <t>I</t>
  </si>
  <si>
    <t>道路工程</t>
  </si>
  <si>
    <t>填土方III类  缺方内运5km</t>
  </si>
  <si>
    <t>路床整修</t>
  </si>
  <si>
    <t>破除62cm水泥混凝土面层</t>
  </si>
  <si>
    <t>破除36cm人行道</t>
  </si>
  <si>
    <t>拆除路缘石</t>
  </si>
  <si>
    <t>拆除平缘石</t>
  </si>
  <si>
    <t>拆除盖板沟</t>
  </si>
  <si>
    <t>4cmSMA-13（改性沥青砼）</t>
  </si>
  <si>
    <t>6cmAC-20C（沥青砼）</t>
  </si>
  <si>
    <t>8cmAC-20C（沥青砼）</t>
  </si>
  <si>
    <t>8cmAC-25C（沥青砼）</t>
  </si>
  <si>
    <t>ES-3稀浆封层</t>
  </si>
  <si>
    <t>20cm5%水泥稳定碎石</t>
  </si>
  <si>
    <t>20cm3%水泥稳定碎石</t>
  </si>
  <si>
    <t>18cm3%水泥稳定碎石</t>
  </si>
  <si>
    <t>20cm级配碎石</t>
  </si>
  <si>
    <t>15cm级配碎石</t>
  </si>
  <si>
    <t>厚36cm 8cm透水砖+15cm厚C20透水混凝土+10cm级配碎石垫层</t>
  </si>
  <si>
    <t>20*45cm立缘石</t>
  </si>
  <si>
    <t>19*10cm立缘石</t>
  </si>
  <si>
    <t>雨水口提升</t>
  </si>
  <si>
    <t>检查井提升</t>
  </si>
  <si>
    <t>人行道下沉式井盖</t>
  </si>
  <si>
    <t>II级钢筋混凝土管DN1600 H=5m</t>
  </si>
  <si>
    <t>II级钢筋混凝土管DN2200 H=5m</t>
  </si>
  <si>
    <t>II级钢筋混凝土管DN2400 H=5m</t>
  </si>
  <si>
    <t>II级钢筋混凝土管 DN800 H=3m</t>
  </si>
  <si>
    <t>DN300球墨铸铁管 H=1m</t>
  </si>
  <si>
    <t>钢筋砼预制井1400*1200</t>
  </si>
  <si>
    <t>钢筋砼预制井2800*1200</t>
  </si>
  <si>
    <t>钢筋砼预制井3200*1200</t>
  </si>
  <si>
    <t>砖砌雨水口</t>
  </si>
  <si>
    <t>DN400球墨铸铁管 H=3m</t>
  </si>
  <si>
    <t>拆除DN300管道</t>
  </si>
  <si>
    <t>DN300紫外光固化</t>
  </si>
  <si>
    <t>φ1000钢筋砼预制井</t>
  </si>
  <si>
    <t>DN300球墨铸铁管 H=1.3m</t>
  </si>
  <si>
    <t>DN300砖砌闸门井</t>
  </si>
  <si>
    <t>DN150计量消火栓</t>
  </si>
  <si>
    <t>DN100排气井</t>
  </si>
  <si>
    <t>DN100排泥井</t>
  </si>
  <si>
    <t>人行道9*DN150 MPP管环刚度≥24KN/m2(C20包封)</t>
  </si>
  <si>
    <t>车行道9*DN150 MPP管 环刚度≥40KN/m2(C20包封)</t>
  </si>
  <si>
    <t>A型电力直通井2.7mX2.0mX2.0m</t>
  </si>
  <si>
    <t xml:space="preserve">D型电力四通井2.7mX2.0mX2.0m </t>
  </si>
  <si>
    <t>热镀锌扁钢-50*5</t>
  </si>
  <si>
    <t>热镀锌角钢L50*50*5,l=2.5m</t>
  </si>
  <si>
    <t>人行道双壁波纹管9*PVC-U110,壁厚5.5mm</t>
  </si>
  <si>
    <t>车行道镀锌钢管9*SC100,壁厚4mm</t>
  </si>
  <si>
    <t>小号直通型人孔井2.2mX1.4mX2.0m.</t>
  </si>
  <si>
    <t>小号四通型人孔井为3.2mX1.7mX2.0m.</t>
  </si>
  <si>
    <t>路灯工程</t>
  </si>
  <si>
    <t>单臂路灯 杆高10米,臂长1.5米,LED灯90W</t>
  </si>
  <si>
    <t>三火路灯 杆高16米LED灯3×300W</t>
  </si>
  <si>
    <t>路灯箱变压器SCB14-100kVA</t>
  </si>
  <si>
    <t>台</t>
  </si>
  <si>
    <t>路灯微机控制箱</t>
  </si>
  <si>
    <t>电缆手孔井940*940*1200</t>
  </si>
  <si>
    <t>电力电缆YJV-0.6/1kV-5*25</t>
  </si>
  <si>
    <t>电力管CPVC75</t>
  </si>
  <si>
    <t>热镀锌钢管 SC80</t>
  </si>
  <si>
    <t>热镀锌扁钢-40*4</t>
  </si>
  <si>
    <t>交通工程</t>
  </si>
  <si>
    <t>交通设施工程</t>
  </si>
  <si>
    <t>□500*300</t>
  </si>
  <si>
    <t>□250*100</t>
  </si>
  <si>
    <t>□160*100</t>
  </si>
  <si>
    <t>□2m×1m</t>
  </si>
  <si>
    <t>□1.25m×0.45m</t>
  </si>
  <si>
    <t>□0.8m</t>
  </si>
  <si>
    <t>中央隔离护栏</t>
  </si>
  <si>
    <t>施工期交通组织工程</t>
  </si>
  <si>
    <t>交叉路口信号灯</t>
  </si>
  <si>
    <t>II级钢筋混凝土管DN1400 H=5m</t>
  </si>
  <si>
    <t>II级钢筋混凝土管DN1600 H=3m</t>
  </si>
  <si>
    <t>钢筋砼预制井2200*1200</t>
  </si>
  <si>
    <t>DN500球墨铸铁管 H=5m</t>
  </si>
  <si>
    <t>拆除DN500管道</t>
  </si>
  <si>
    <t>DN300局部树脂固化</t>
  </si>
  <si>
    <t>环</t>
  </si>
  <si>
    <t>DN300球墨铸铁管 H=3m</t>
  </si>
  <si>
    <t>DN500球墨铸铁管 H=1.5m</t>
  </si>
  <si>
    <t>DN50排气井</t>
  </si>
  <si>
    <t>DN50排泥井</t>
  </si>
  <si>
    <t>人行道12*DN150 MPP管环刚度≥24KN/m2(C20包封)</t>
  </si>
  <si>
    <t>车行道12*DN150 MPP管 环刚度≥40KN/m2(C20包封)</t>
  </si>
  <si>
    <t>人行道双壁波纹管12*PVC-U110,壁厚5.5mm</t>
  </si>
  <si>
    <t>车行道镀锌钢管12*SC100,壁厚4mm</t>
  </si>
  <si>
    <t>单臂路灯 杆高10米,臂长1.5米,LED灯175W</t>
  </si>
  <si>
    <t>DN600球墨铸铁管 H=3m</t>
  </si>
  <si>
    <t>DN600紫外光固化</t>
  </si>
  <si>
    <t>II级钢筋混凝土管DN1400 H=3m</t>
  </si>
  <si>
    <t>II级钢筋混凝土管DN1800 H=4m</t>
  </si>
  <si>
    <t>II级钢筋混凝土管 DN2400 H=5m</t>
  </si>
  <si>
    <t>单臂路灯 杆高8米,臂长1.5米,LED灯45W</t>
  </si>
  <si>
    <t>DN500球墨铸铁管 H=4m</t>
  </si>
  <si>
    <t>DN500局部树脂固化</t>
  </si>
  <si>
    <t>DN800局部树脂固化</t>
  </si>
  <si>
    <t>DN800紫外光固化</t>
  </si>
  <si>
    <t>II级钢筋混凝土管 DN2400 H=4m</t>
  </si>
  <si>
    <t>新建雨水泵站一座，规模5m3/s</t>
  </si>
  <si>
    <t>DN400钢管（倒虹管） 围堰 砼满包</t>
  </si>
  <si>
    <t>DN400局部树脂固化</t>
  </si>
  <si>
    <t>II级钢筋混凝土管DN1600 H=4m</t>
  </si>
  <si>
    <t>DN400紫外光固化</t>
  </si>
  <si>
    <t>DN200球墨铸铁管 H=1.2m</t>
  </si>
  <si>
    <t>DN200砖砌闸门井</t>
  </si>
  <si>
    <t>1.1</t>
  </si>
  <si>
    <t>1.1.1</t>
  </si>
  <si>
    <t>1.2</t>
  </si>
  <si>
    <t>混房</t>
  </si>
  <si>
    <t>1.2.3</t>
  </si>
  <si>
    <t>1.2.4</t>
  </si>
  <si>
    <t>1.2.5</t>
  </si>
  <si>
    <t>1.2.6</t>
  </si>
  <si>
    <t>1.2.7</t>
  </si>
  <si>
    <t>1.2.8</t>
  </si>
  <si>
    <t>砖围墙</t>
  </si>
  <si>
    <t>财建[2016]504号</t>
  </si>
  <si>
    <t>闽招协[2021]32号</t>
  </si>
  <si>
    <t>水土保持咨询服务费</t>
  </si>
  <si>
    <t>保监[2005]22号</t>
  </si>
  <si>
    <t>第一部分工程费用*2%</t>
  </si>
  <si>
    <t>闽价服[2012]237号+工程勘察费*费率</t>
  </si>
  <si>
    <t>渣土消纳费</t>
  </si>
  <si>
    <t>闽价费（2017）286号</t>
  </si>
  <si>
    <t>高边坡检测费</t>
  </si>
  <si>
    <t>工程支付担保费</t>
  </si>
  <si>
    <t>第一部分工程费用*1.2%</t>
  </si>
  <si>
    <t>桥梁静动载试验</t>
  </si>
  <si>
    <t>工程监测</t>
  </si>
  <si>
    <t>地下管线检测</t>
  </si>
  <si>
    <t>交易服务费</t>
  </si>
  <si>
    <t>闽发改服价〔2021〕250号</t>
  </si>
  <si>
    <t>【（一）+(二）】*8%</t>
  </si>
  <si>
    <t>贷款</t>
  </si>
  <si>
    <t>（财政出资）资本金</t>
  </si>
  <si>
    <t>年度用款计划</t>
  </si>
  <si>
    <t>延期支付款</t>
  </si>
  <si>
    <t>银行贷款</t>
  </si>
  <si>
    <t>延期支付利息</t>
  </si>
  <si>
    <t>贷款利息</t>
  </si>
  <si>
    <t>工程总概算表</t>
  </si>
  <si>
    <t>项目名称：城区污水设施及排放口提升改造工程</t>
  </si>
  <si>
    <t>1#排口</t>
  </si>
  <si>
    <t>土方工程</t>
  </si>
  <si>
    <t>II</t>
  </si>
  <si>
    <t>2#排口</t>
  </si>
  <si>
    <t>电气工程</t>
  </si>
  <si>
    <t>III</t>
  </si>
  <si>
    <t>31#排口</t>
  </si>
  <si>
    <t>【（一）+(二）】*3%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</si>
</sst>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00_ "/>
    <numFmt numFmtId="180" formatCode="0_ "/>
    <numFmt numFmtId="181" formatCode="0.000_ "/>
  </numFmts>
  <fonts count="5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9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9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indexed="16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sz val="10"/>
      <color rgb="FFFF0000"/>
      <name val="Times New Roman"/>
      <charset val="134"/>
    </font>
    <font>
      <sz val="9"/>
      <color rgb="FFFF0000"/>
      <name val="Times New Roman"/>
      <charset val="134"/>
    </font>
    <font>
      <sz val="10"/>
      <color rgb="FFFF0000"/>
      <name val="宋体"/>
      <charset val="134"/>
    </font>
    <font>
      <sz val="7"/>
      <name val="宋体"/>
      <charset val="134"/>
      <scheme val="minor"/>
    </font>
    <font>
      <u/>
      <sz val="9"/>
      <name val="宋体"/>
      <charset val="134"/>
      <scheme val="minor"/>
    </font>
    <font>
      <u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3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Calibri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54" fillId="0" borderId="0"/>
    <xf numFmtId="0" fontId="54" fillId="0" borderId="0"/>
    <xf numFmtId="0" fontId="54" fillId="0" borderId="0">
      <alignment vertical="center"/>
    </xf>
    <xf numFmtId="0" fontId="55" fillId="0" borderId="0"/>
    <xf numFmtId="0" fontId="54" fillId="0" borderId="0"/>
    <xf numFmtId="0" fontId="56" fillId="0" borderId="0"/>
  </cellStyleXfs>
  <cellXfs count="291">
    <xf numFmtId="0" fontId="0" fillId="0" borderId="0" xfId="0"/>
    <xf numFmtId="0" fontId="1" fillId="0" borderId="0" xfId="0" applyFont="1" applyFill="1"/>
    <xf numFmtId="0" fontId="2" fillId="0" borderId="0" xfId="0" applyFont="1" applyFill="1"/>
    <xf numFmtId="10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2" fillId="0" borderId="1" xfId="24" applyFont="1" applyFill="1" applyBorder="1" applyAlignment="1">
      <alignment horizontal="center" vertical="center" wrapText="1"/>
    </xf>
    <xf numFmtId="0" fontId="12" fillId="0" borderId="1" xfId="24" applyFont="1" applyFill="1" applyBorder="1" applyAlignment="1">
      <alignment horizontal="left" vertical="center" wrapText="1"/>
    </xf>
    <xf numFmtId="176" fontId="13" fillId="0" borderId="1" xfId="24" applyNumberFormat="1" applyFont="1" applyFill="1" applyBorder="1" applyAlignment="1">
      <alignment horizontal="center" vertical="center" wrapText="1"/>
    </xf>
    <xf numFmtId="0" fontId="13" fillId="0" borderId="1" xfId="24" applyFont="1" applyFill="1" applyBorder="1" applyAlignment="1">
      <alignment horizontal="center" vertical="center" wrapText="1"/>
    </xf>
    <xf numFmtId="178" fontId="13" fillId="0" borderId="1" xfId="24" applyNumberFormat="1" applyFont="1" applyFill="1" applyBorder="1" applyAlignment="1">
      <alignment horizontal="center" vertical="center" wrapText="1"/>
    </xf>
    <xf numFmtId="10" fontId="12" fillId="0" borderId="1" xfId="55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9" fillId="0" borderId="1" xfId="24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0" fillId="0" borderId="1" xfId="24" applyFont="1" applyFill="1" applyBorder="1" applyAlignment="1">
      <alignment horizontal="center" vertical="center" wrapText="1"/>
    </xf>
    <xf numFmtId="176" fontId="10" fillId="0" borderId="1" xfId="24" applyNumberFormat="1" applyFont="1" applyFill="1" applyBorder="1" applyAlignment="1">
      <alignment horizontal="center" vertical="center" wrapText="1"/>
    </xf>
    <xf numFmtId="178" fontId="10" fillId="0" borderId="1" xfId="24" applyNumberFormat="1" applyFont="1" applyFill="1" applyBorder="1" applyAlignment="1">
      <alignment horizontal="center" vertical="center" wrapText="1"/>
    </xf>
    <xf numFmtId="0" fontId="9" fillId="0" borderId="1" xfId="24" applyFont="1" applyFill="1" applyBorder="1" applyAlignment="1">
      <alignment horizontal="left" vertical="center" wrapText="1"/>
    </xf>
    <xf numFmtId="10" fontId="9" fillId="0" borderId="1" xfId="55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76" fontId="12" fillId="0" borderId="1" xfId="24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12" fillId="0" borderId="1" xfId="24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4" fillId="0" borderId="1" xfId="52" applyNumberFormat="1" applyFont="1" applyFill="1" applyBorder="1" applyAlignment="1">
      <alignment horizontal="center" vertical="center"/>
    </xf>
    <xf numFmtId="178" fontId="14" fillId="0" borderId="1" xfId="52" applyNumberFormat="1" applyFont="1" applyFill="1" applyBorder="1" applyAlignment="1">
      <alignment horizontal="left" vertical="center"/>
    </xf>
    <xf numFmtId="177" fontId="9" fillId="0" borderId="1" xfId="51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/>
    </xf>
    <xf numFmtId="10" fontId="9" fillId="0" borderId="1" xfId="55" applyNumberFormat="1" applyFont="1" applyFill="1" applyBorder="1" applyAlignment="1">
      <alignment horizontal="center" vertical="center"/>
    </xf>
    <xf numFmtId="10" fontId="9" fillId="0" borderId="0" xfId="55" applyNumberFormat="1" applyFont="1" applyFill="1" applyBorder="1" applyAlignment="1">
      <alignment horizontal="center" vertical="center"/>
    </xf>
    <xf numFmtId="176" fontId="15" fillId="0" borderId="0" xfId="55" applyNumberFormat="1" applyFont="1" applyFill="1" applyBorder="1" applyAlignment="1">
      <alignment horizontal="center" vertical="center"/>
    </xf>
    <xf numFmtId="177" fontId="9" fillId="0" borderId="1" xfId="55" applyNumberFormat="1" applyFont="1" applyFill="1" applyBorder="1" applyAlignment="1">
      <alignment horizontal="center" vertical="center"/>
    </xf>
    <xf numFmtId="0" fontId="12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left" vertical="center" wrapText="1"/>
    </xf>
    <xf numFmtId="177" fontId="12" fillId="0" borderId="1" xfId="55" applyNumberFormat="1" applyFont="1" applyFill="1" applyBorder="1" applyAlignment="1">
      <alignment horizontal="center" vertical="center" wrapText="1"/>
    </xf>
    <xf numFmtId="0" fontId="12" fillId="0" borderId="0" xfId="55" applyFont="1" applyFill="1" applyBorder="1" applyAlignment="1">
      <alignment horizontal="center" vertical="center" wrapText="1"/>
    </xf>
    <xf numFmtId="176" fontId="15" fillId="0" borderId="0" xfId="55" applyNumberFormat="1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left" vertical="center" wrapText="1"/>
    </xf>
    <xf numFmtId="177" fontId="9" fillId="0" borderId="1" xfId="55" applyNumberFormat="1" applyFont="1" applyFill="1" applyBorder="1" applyAlignment="1">
      <alignment horizontal="center" vertical="center" wrapText="1"/>
    </xf>
    <xf numFmtId="9" fontId="9" fillId="0" borderId="1" xfId="55" applyNumberFormat="1" applyFont="1" applyFill="1" applyBorder="1" applyAlignment="1">
      <alignment horizontal="center" vertical="center" wrapText="1"/>
    </xf>
    <xf numFmtId="9" fontId="9" fillId="0" borderId="0" xfId="55" applyNumberFormat="1" applyFont="1" applyFill="1" applyBorder="1" applyAlignment="1">
      <alignment horizontal="center" vertical="center" wrapText="1"/>
    </xf>
    <xf numFmtId="0" fontId="9" fillId="0" borderId="0" xfId="55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 wrapText="1"/>
    </xf>
    <xf numFmtId="176" fontId="12" fillId="0" borderId="1" xfId="55" applyNumberFormat="1" applyFont="1" applyFill="1" applyBorder="1" applyAlignment="1">
      <alignment horizontal="center" vertical="center" wrapText="1"/>
    </xf>
    <xf numFmtId="0" fontId="15" fillId="0" borderId="0" xfId="55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right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0" fillId="0" borderId="0" xfId="0" applyFill="1"/>
    <xf numFmtId="0" fontId="17" fillId="0" borderId="0" xfId="0" applyFont="1" applyFill="1"/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 wrapText="1"/>
    </xf>
    <xf numFmtId="0" fontId="12" fillId="0" borderId="5" xfId="24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/>
    </xf>
    <xf numFmtId="0" fontId="9" fillId="0" borderId="5" xfId="24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left" vertical="center" wrapText="1"/>
    </xf>
    <xf numFmtId="176" fontId="9" fillId="0" borderId="1" xfId="24" applyNumberFormat="1" applyFont="1" applyFill="1" applyBorder="1" applyAlignment="1">
      <alignment horizontal="center" vertical="center" wrapText="1"/>
    </xf>
    <xf numFmtId="177" fontId="9" fillId="0" borderId="1" xfId="24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0" fontId="9" fillId="0" borderId="1" xfId="24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7" fontId="10" fillId="0" borderId="0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 wrapText="1"/>
    </xf>
    <xf numFmtId="176" fontId="9" fillId="2" borderId="1" xfId="24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9" fillId="2" borderId="1" xfId="24" applyNumberFormat="1" applyFont="1" applyFill="1" applyBorder="1" applyAlignment="1">
      <alignment horizontal="center" vertical="center" wrapText="1"/>
    </xf>
    <xf numFmtId="0" fontId="9" fillId="2" borderId="1" xfId="24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78" fontId="10" fillId="2" borderId="0" xfId="0" applyNumberFormat="1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9" fillId="2" borderId="5" xfId="22" applyFont="1" applyFill="1" applyBorder="1" applyAlignment="1">
      <alignment horizontal="center" vertical="center" wrapText="1"/>
    </xf>
    <xf numFmtId="0" fontId="9" fillId="2" borderId="1" xfId="22" applyFont="1" applyFill="1" applyBorder="1" applyAlignment="1">
      <alignment horizontal="left" vertical="center"/>
    </xf>
    <xf numFmtId="176" fontId="9" fillId="2" borderId="1" xfId="22" applyNumberFormat="1" applyFont="1" applyFill="1" applyBorder="1" applyAlignment="1">
      <alignment horizontal="center" vertical="center"/>
    </xf>
    <xf numFmtId="177" fontId="9" fillId="2" borderId="1" xfId="22" applyNumberFormat="1" applyFont="1" applyFill="1" applyBorder="1" applyAlignment="1">
      <alignment horizontal="center" vertical="center"/>
    </xf>
    <xf numFmtId="0" fontId="9" fillId="2" borderId="1" xfId="22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0" fontId="9" fillId="0" borderId="5" xfId="22" applyFont="1" applyFill="1" applyBorder="1" applyAlignment="1">
      <alignment horizontal="center" vertical="center" wrapText="1"/>
    </xf>
    <xf numFmtId="0" fontId="9" fillId="0" borderId="1" xfId="22" applyFont="1" applyFill="1" applyBorder="1" applyAlignment="1">
      <alignment horizontal="left" vertical="center"/>
    </xf>
    <xf numFmtId="176" fontId="9" fillId="0" borderId="1" xfId="22" applyNumberFormat="1" applyFont="1" applyFill="1" applyBorder="1" applyAlignment="1">
      <alignment horizontal="center" vertical="center"/>
    </xf>
    <xf numFmtId="177" fontId="9" fillId="0" borderId="1" xfId="22" applyNumberFormat="1" applyFont="1" applyFill="1" applyBorder="1" applyAlignment="1">
      <alignment horizontal="center" vertical="center"/>
    </xf>
    <xf numFmtId="0" fontId="9" fillId="0" borderId="1" xfId="22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 wrapText="1"/>
    </xf>
    <xf numFmtId="0" fontId="9" fillId="0" borderId="1" xfId="22" applyFont="1" applyFill="1" applyBorder="1" applyAlignment="1">
      <alignment horizontal="left" vertical="center" wrapText="1"/>
    </xf>
    <xf numFmtId="0" fontId="12" fillId="2" borderId="5" xfId="24" applyFont="1" applyFill="1" applyBorder="1" applyAlignment="1">
      <alignment horizontal="center" vertical="center" wrapText="1"/>
    </xf>
    <xf numFmtId="0" fontId="12" fillId="2" borderId="1" xfId="24" applyFont="1" applyFill="1" applyBorder="1" applyAlignment="1">
      <alignment horizontal="left" vertical="center" wrapText="1"/>
    </xf>
    <xf numFmtId="176" fontId="13" fillId="2" borderId="1" xfId="24" applyNumberFormat="1" applyFont="1" applyFill="1" applyBorder="1" applyAlignment="1">
      <alignment horizontal="center" vertical="center" wrapText="1"/>
    </xf>
    <xf numFmtId="0" fontId="13" fillId="2" borderId="1" xfId="24" applyFont="1" applyFill="1" applyBorder="1" applyAlignment="1">
      <alignment horizontal="center" vertical="center" wrapText="1"/>
    </xf>
    <xf numFmtId="178" fontId="13" fillId="2" borderId="1" xfId="24" applyNumberFormat="1" applyFont="1" applyFill="1" applyBorder="1" applyAlignment="1">
      <alignment horizontal="center" vertical="center" wrapText="1"/>
    </xf>
    <xf numFmtId="10" fontId="12" fillId="2" borderId="1" xfId="0" applyNumberFormat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9" fillId="2" borderId="1" xfId="22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13" fillId="0" borderId="1" xfId="24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center" vertical="center" wrapText="1"/>
    </xf>
    <xf numFmtId="10" fontId="10" fillId="0" borderId="1" xfId="24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18" fillId="0" borderId="1" xfId="54" applyNumberFormat="1" applyFont="1" applyFill="1" applyBorder="1" applyAlignment="1">
      <alignment horizontal="left" vertical="center" wrapText="1"/>
    </xf>
    <xf numFmtId="177" fontId="19" fillId="0" borderId="0" xfId="0" applyNumberFormat="1" applyFont="1" applyFill="1" applyBorder="1" applyAlignment="1">
      <alignment horizontal="center" vertical="center" wrapText="1"/>
    </xf>
    <xf numFmtId="176" fontId="20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0" fontId="21" fillId="0" borderId="1" xfId="24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8" fontId="19" fillId="0" borderId="0" xfId="0" applyNumberFormat="1" applyFont="1" applyFill="1" applyBorder="1" applyAlignment="1">
      <alignment horizontal="center" vertical="center" wrapText="1"/>
    </xf>
    <xf numFmtId="10" fontId="21" fillId="0" borderId="1" xfId="0" applyNumberFormat="1" applyFont="1" applyFill="1" applyBorder="1" applyAlignment="1">
      <alignment horizontal="center" vertical="center"/>
    </xf>
    <xf numFmtId="180" fontId="9" fillId="2" borderId="1" xfId="24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4" fillId="0" borderId="5" xfId="52" applyNumberFormat="1" applyFont="1" applyFill="1" applyBorder="1" applyAlignment="1">
      <alignment horizontal="center" vertical="center"/>
    </xf>
    <xf numFmtId="0" fontId="14" fillId="0" borderId="1" xfId="56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8" fontId="14" fillId="0" borderId="1" xfId="52" applyNumberFormat="1" applyFont="1" applyFill="1" applyBorder="1" applyAlignment="1">
      <alignment horizontal="center" vertical="center" wrapText="1"/>
    </xf>
    <xf numFmtId="178" fontId="14" fillId="0" borderId="1" xfId="52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81" fontId="14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23" fillId="0" borderId="0" xfId="6" applyFont="1" applyFill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 wrapText="1"/>
    </xf>
    <xf numFmtId="0" fontId="24" fillId="0" borderId="0" xfId="6" applyFont="1" applyFill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10" fontId="9" fillId="0" borderId="6" xfId="55" applyNumberFormat="1" applyFont="1" applyFill="1" applyBorder="1" applyAlignment="1">
      <alignment horizontal="center" vertical="center"/>
    </xf>
    <xf numFmtId="10" fontId="15" fillId="0" borderId="0" xfId="55" applyNumberFormat="1" applyFont="1" applyFill="1" applyBorder="1" applyAlignment="1">
      <alignment horizontal="center" vertical="center"/>
    </xf>
    <xf numFmtId="177" fontId="9" fillId="0" borderId="7" xfId="51" applyNumberFormat="1" applyFont="1" applyFill="1" applyBorder="1" applyAlignment="1">
      <alignment horizontal="center" vertical="center" wrapText="1"/>
    </xf>
    <xf numFmtId="177" fontId="9" fillId="0" borderId="8" xfId="51" applyNumberFormat="1" applyFont="1" applyFill="1" applyBorder="1" applyAlignment="1">
      <alignment horizontal="center" vertical="center" wrapText="1"/>
    </xf>
    <xf numFmtId="177" fontId="9" fillId="0" borderId="9" xfId="51" applyNumberFormat="1" applyFont="1" applyFill="1" applyBorder="1" applyAlignment="1">
      <alignment horizontal="center" vertical="center" wrapText="1"/>
    </xf>
    <xf numFmtId="0" fontId="12" fillId="0" borderId="5" xfId="55" applyFont="1" applyFill="1" applyBorder="1" applyAlignment="1">
      <alignment horizontal="center" vertical="center" wrapText="1"/>
    </xf>
    <xf numFmtId="0" fontId="12" fillId="0" borderId="6" xfId="55" applyFont="1" applyFill="1" applyBorder="1" applyAlignment="1">
      <alignment horizontal="center" vertical="center" wrapText="1"/>
    </xf>
    <xf numFmtId="0" fontId="9" fillId="0" borderId="5" xfId="55" applyFont="1" applyFill="1" applyBorder="1" applyAlignment="1">
      <alignment horizontal="center" vertical="center" wrapText="1"/>
    </xf>
    <xf numFmtId="9" fontId="9" fillId="0" borderId="6" xfId="55" applyNumberFormat="1" applyFont="1" applyFill="1" applyBorder="1" applyAlignment="1">
      <alignment horizontal="center" vertical="center" wrapText="1"/>
    </xf>
    <xf numFmtId="9" fontId="15" fillId="0" borderId="0" xfId="55" applyNumberFormat="1" applyFont="1" applyFill="1" applyBorder="1" applyAlignment="1">
      <alignment horizontal="center" vertical="center" wrapText="1"/>
    </xf>
    <xf numFmtId="0" fontId="9" fillId="0" borderId="6" xfId="55" applyFont="1" applyFill="1" applyBorder="1" applyAlignment="1">
      <alignment horizontal="center" vertical="center" wrapText="1"/>
    </xf>
    <xf numFmtId="0" fontId="12" fillId="0" borderId="10" xfId="55" applyFont="1" applyFill="1" applyBorder="1" applyAlignment="1">
      <alignment horizontal="center" vertical="center" wrapText="1"/>
    </xf>
    <xf numFmtId="0" fontId="12" fillId="0" borderId="11" xfId="55" applyFont="1" applyFill="1" applyBorder="1" applyAlignment="1">
      <alignment horizontal="left" vertical="center" wrapText="1"/>
    </xf>
    <xf numFmtId="177" fontId="12" fillId="0" borderId="11" xfId="55" applyNumberFormat="1" applyFont="1" applyFill="1" applyBorder="1" applyAlignment="1">
      <alignment horizontal="center" vertical="center" wrapText="1"/>
    </xf>
    <xf numFmtId="0" fontId="13" fillId="0" borderId="11" xfId="55" applyFont="1" applyFill="1" applyBorder="1" applyAlignment="1">
      <alignment horizontal="center" vertical="center" wrapText="1"/>
    </xf>
    <xf numFmtId="176" fontId="12" fillId="0" borderId="11" xfId="55" applyNumberFormat="1" applyFont="1" applyFill="1" applyBorder="1" applyAlignment="1">
      <alignment horizontal="center" vertical="center" wrapText="1"/>
    </xf>
    <xf numFmtId="178" fontId="13" fillId="0" borderId="11" xfId="24" applyNumberFormat="1" applyFont="1" applyFill="1" applyBorder="1" applyAlignment="1">
      <alignment horizontal="center" vertical="center" wrapText="1"/>
    </xf>
    <xf numFmtId="10" fontId="12" fillId="0" borderId="11" xfId="55" applyNumberFormat="1" applyFont="1" applyFill="1" applyBorder="1" applyAlignment="1">
      <alignment horizontal="center" vertical="center" wrapText="1"/>
    </xf>
    <xf numFmtId="0" fontId="12" fillId="0" borderId="12" xfId="55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25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26" fillId="0" borderId="1" xfId="24" applyFont="1" applyFill="1" applyBorder="1" applyAlignment="1">
      <alignment horizontal="center" vertical="center" wrapText="1"/>
    </xf>
    <xf numFmtId="0" fontId="26" fillId="0" borderId="1" xfId="24" applyFont="1" applyFill="1" applyBorder="1" applyAlignment="1">
      <alignment horizontal="left" vertical="center" wrapText="1"/>
    </xf>
    <xf numFmtId="176" fontId="27" fillId="0" borderId="1" xfId="24" applyNumberFormat="1" applyFont="1" applyFill="1" applyBorder="1" applyAlignment="1">
      <alignment horizontal="center" vertical="center" wrapText="1"/>
    </xf>
    <xf numFmtId="0" fontId="27" fillId="0" borderId="1" xfId="24" applyFont="1" applyFill="1" applyBorder="1" applyAlignment="1">
      <alignment horizontal="center" vertical="center" wrapText="1"/>
    </xf>
    <xf numFmtId="178" fontId="27" fillId="0" borderId="1" xfId="24" applyNumberFormat="1" applyFont="1" applyFill="1" applyBorder="1" applyAlignment="1">
      <alignment horizontal="center" vertical="center" wrapText="1"/>
    </xf>
    <xf numFmtId="2" fontId="12" fillId="0" borderId="1" xfId="55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177" fontId="27" fillId="0" borderId="1" xfId="24" applyNumberFormat="1" applyFont="1" applyFill="1" applyBorder="1" applyAlignment="1">
      <alignment horizontal="center" vertical="center" wrapText="1"/>
    </xf>
    <xf numFmtId="0" fontId="28" fillId="0" borderId="1" xfId="22" applyFont="1" applyFill="1" applyBorder="1" applyAlignment="1">
      <alignment horizontal="center" vertical="center" wrapText="1"/>
    </xf>
    <xf numFmtId="0" fontId="28" fillId="0" borderId="1" xfId="22" applyFont="1" applyFill="1" applyBorder="1" applyAlignment="1">
      <alignment horizontal="left" vertical="center"/>
    </xf>
    <xf numFmtId="176" fontId="28" fillId="0" borderId="1" xfId="22" applyNumberFormat="1" applyFont="1" applyFill="1" applyBorder="1" applyAlignment="1">
      <alignment horizontal="center" vertical="center"/>
    </xf>
    <xf numFmtId="177" fontId="28" fillId="0" borderId="1" xfId="22" applyNumberFormat="1" applyFont="1" applyFill="1" applyBorder="1" applyAlignment="1">
      <alignment horizontal="center" vertical="center"/>
    </xf>
    <xf numFmtId="0" fontId="28" fillId="0" borderId="1" xfId="22" applyFont="1" applyFill="1" applyBorder="1" applyAlignment="1">
      <alignment horizontal="center" vertical="center"/>
    </xf>
    <xf numFmtId="0" fontId="28" fillId="0" borderId="1" xfId="24" applyFont="1" applyFill="1" applyBorder="1" applyAlignment="1">
      <alignment horizontal="center" vertical="center" wrapText="1"/>
    </xf>
    <xf numFmtId="178" fontId="29" fillId="0" borderId="1" xfId="24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/>
    <xf numFmtId="176" fontId="30" fillId="0" borderId="1" xfId="24" applyNumberFormat="1" applyFont="1" applyFill="1" applyBorder="1" applyAlignment="1">
      <alignment horizontal="center" vertical="center" wrapText="1"/>
    </xf>
    <xf numFmtId="0" fontId="30" fillId="0" borderId="1" xfId="24" applyFont="1" applyFill="1" applyBorder="1" applyAlignment="1">
      <alignment horizontal="center" vertical="center" wrapText="1"/>
    </xf>
    <xf numFmtId="177" fontId="30" fillId="0" borderId="1" xfId="24" applyNumberFormat="1" applyFont="1" applyFill="1" applyBorder="1" applyAlignment="1">
      <alignment horizontal="center" vertical="center" wrapText="1"/>
    </xf>
    <xf numFmtId="178" fontId="30" fillId="0" borderId="1" xfId="24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77" fontId="30" fillId="0" borderId="1" xfId="0" applyNumberFormat="1" applyFont="1" applyFill="1" applyBorder="1" applyAlignment="1">
      <alignment horizontal="center" vertical="center" wrapText="1"/>
    </xf>
    <xf numFmtId="178" fontId="30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78" fontId="9" fillId="0" borderId="1" xfId="24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7" fontId="28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8" fontId="28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left" vertical="center" wrapText="1"/>
    </xf>
    <xf numFmtId="176" fontId="28" fillId="0" borderId="1" xfId="24" applyNumberFormat="1" applyFont="1" applyFill="1" applyBorder="1" applyAlignment="1">
      <alignment horizontal="center" vertical="center" wrapText="1"/>
    </xf>
    <xf numFmtId="177" fontId="28" fillId="0" borderId="1" xfId="24" applyNumberFormat="1" applyFont="1" applyFill="1" applyBorder="1" applyAlignment="1">
      <alignment horizontal="center" vertical="center" wrapText="1"/>
    </xf>
    <xf numFmtId="178" fontId="9" fillId="0" borderId="1" xfId="22" applyNumberFormat="1" applyFont="1" applyFill="1" applyBorder="1" applyAlignment="1">
      <alignment horizontal="center" vertical="center"/>
    </xf>
    <xf numFmtId="0" fontId="28" fillId="0" borderId="1" xfId="24" applyFont="1" applyFill="1" applyBorder="1" applyAlignment="1">
      <alignment horizontal="left" vertical="center" wrapText="1"/>
    </xf>
    <xf numFmtId="178" fontId="28" fillId="0" borderId="1" xfId="24" applyNumberFormat="1" applyFont="1" applyFill="1" applyBorder="1" applyAlignment="1">
      <alignment horizontal="center" vertical="center" wrapText="1"/>
    </xf>
    <xf numFmtId="0" fontId="29" fillId="0" borderId="1" xfId="24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left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178" fontId="2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176" fontId="26" fillId="0" borderId="7" xfId="24" applyNumberFormat="1" applyFont="1" applyFill="1" applyBorder="1" applyAlignment="1">
      <alignment horizontal="center" vertical="center" wrapText="1"/>
    </xf>
    <xf numFmtId="176" fontId="26" fillId="0" borderId="8" xfId="24" applyNumberFormat="1" applyFont="1" applyFill="1" applyBorder="1" applyAlignment="1">
      <alignment horizontal="center" vertical="center" wrapText="1"/>
    </xf>
    <xf numFmtId="177" fontId="26" fillId="0" borderId="1" xfId="24" applyNumberFormat="1" applyFont="1" applyFill="1" applyBorder="1" applyAlignment="1">
      <alignment horizontal="center" vertical="center" wrapText="1"/>
    </xf>
    <xf numFmtId="49" fontId="14" fillId="0" borderId="1" xfId="52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/>
    </xf>
    <xf numFmtId="0" fontId="31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77" fontId="33" fillId="0" borderId="7" xfId="51" applyNumberFormat="1" applyFont="1" applyFill="1" applyBorder="1" applyAlignment="1">
      <alignment horizontal="center" vertical="center" wrapText="1"/>
    </xf>
    <xf numFmtId="180" fontId="14" fillId="0" borderId="1" xfId="52" applyNumberFormat="1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7" fontId="33" fillId="0" borderId="7" xfId="55" applyNumberFormat="1" applyFont="1" applyFill="1" applyBorder="1" applyAlignment="1">
      <alignment horizontal="center" vertical="center"/>
    </xf>
    <xf numFmtId="177" fontId="33" fillId="0" borderId="8" xfId="55" applyNumberFormat="1" applyFont="1" applyFill="1" applyBorder="1" applyAlignment="1">
      <alignment horizontal="center" vertical="center"/>
    </xf>
    <xf numFmtId="177" fontId="33" fillId="0" borderId="8" xfId="51" applyNumberFormat="1" applyFont="1" applyFill="1" applyBorder="1" applyAlignment="1">
      <alignment horizontal="center" vertical="center" wrapText="1"/>
    </xf>
    <xf numFmtId="177" fontId="33" fillId="0" borderId="9" xfId="51" applyNumberFormat="1" applyFont="1" applyFill="1" applyBorder="1" applyAlignment="1">
      <alignment horizontal="center" vertical="center" wrapText="1"/>
    </xf>
    <xf numFmtId="177" fontId="12" fillId="0" borderId="7" xfId="55" applyNumberFormat="1" applyFont="1" applyFill="1" applyBorder="1" applyAlignment="1">
      <alignment horizontal="center" vertical="center" wrapText="1"/>
    </xf>
    <xf numFmtId="177" fontId="12" fillId="0" borderId="8" xfId="55" applyNumberFormat="1" applyFont="1" applyFill="1" applyBorder="1" applyAlignment="1">
      <alignment horizontal="center" vertical="center" wrapText="1"/>
    </xf>
    <xf numFmtId="0" fontId="12" fillId="0" borderId="0" xfId="55" applyFont="1" applyBorder="1" applyAlignment="1">
      <alignment horizontal="center" vertical="center" wrapText="1"/>
    </xf>
    <xf numFmtId="177" fontId="9" fillId="0" borderId="7" xfId="55" applyNumberFormat="1" applyFont="1" applyFill="1" applyBorder="1" applyAlignment="1">
      <alignment horizontal="center" vertical="center" wrapText="1"/>
    </xf>
    <xf numFmtId="177" fontId="9" fillId="0" borderId="8" xfId="55" applyNumberFormat="1" applyFont="1" applyFill="1" applyBorder="1" applyAlignment="1">
      <alignment horizontal="center" vertical="center" wrapText="1"/>
    </xf>
    <xf numFmtId="2" fontId="9" fillId="0" borderId="1" xfId="55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_常规法" xfId="49"/>
    <cellStyle name="常规 6" xfId="50"/>
    <cellStyle name="常规 8" xfId="51"/>
    <cellStyle name="常规_潜江污水综合治理工程量表" xfId="52"/>
    <cellStyle name="常规 3 4" xfId="53"/>
    <cellStyle name="Normal" xfId="54"/>
    <cellStyle name="常规 2" xfId="55"/>
    <cellStyle name="常规 3" xfId="56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3:Q112"/>
  <sheetViews>
    <sheetView topLeftCell="A40" workbookViewId="0">
      <selection activeCell="A7" sqref="$A7:$XFD7"/>
    </sheetView>
  </sheetViews>
  <sheetFormatPr defaultColWidth="9" defaultRowHeight="13.5"/>
  <cols>
    <col min="2" max="2" width="7.5" customWidth="1"/>
    <col min="3" max="3" width="29.1333333333333" customWidth="1"/>
    <col min="4" max="5" width="10.6333333333333" customWidth="1"/>
    <col min="6" max="6" width="10.75" customWidth="1"/>
    <col min="7" max="7" width="11.3833333333333" customWidth="1"/>
    <col min="8" max="8" width="11.75" customWidth="1"/>
    <col min="9" max="9" width="7.25" customWidth="1"/>
    <col min="11" max="11" width="12" customWidth="1"/>
    <col min="12" max="12" width="8.25" customWidth="1"/>
    <col min="13" max="14" width="7.38333333333333" customWidth="1"/>
    <col min="16" max="16" width="9.5" customWidth="1"/>
    <col min="17" max="17" width="10.5" customWidth="1"/>
  </cols>
  <sheetData>
    <row r="3" ht="21.75" customHeight="1" spans="2:17">
      <c r="B3" s="212" t="s">
        <v>0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9"/>
    </row>
    <row r="4" ht="21.75" customHeight="1" spans="2:17">
      <c r="B4" s="17" t="s">
        <v>1</v>
      </c>
      <c r="C4" s="17" t="s">
        <v>2</v>
      </c>
      <c r="D4" s="17" t="s">
        <v>3</v>
      </c>
      <c r="E4" s="17"/>
      <c r="F4" s="17"/>
      <c r="G4" s="17"/>
      <c r="H4" s="17"/>
      <c r="I4" s="17" t="s">
        <v>4</v>
      </c>
      <c r="J4" s="17"/>
      <c r="K4" s="17"/>
      <c r="L4" s="214" t="s">
        <v>5</v>
      </c>
      <c r="M4" s="17" t="s">
        <v>6</v>
      </c>
      <c r="N4" s="24"/>
    </row>
    <row r="5" ht="34.5" customHeight="1" spans="2:17">
      <c r="B5" s="17"/>
      <c r="C5" s="17"/>
      <c r="D5" s="17" t="s">
        <v>7</v>
      </c>
      <c r="E5" s="17" t="s">
        <v>8</v>
      </c>
      <c r="F5" s="214" t="s">
        <v>9</v>
      </c>
      <c r="G5" s="215" t="s">
        <v>10</v>
      </c>
      <c r="H5" s="215" t="s">
        <v>11</v>
      </c>
      <c r="I5" s="17" t="s">
        <v>12</v>
      </c>
      <c r="J5" s="17" t="s">
        <v>13</v>
      </c>
      <c r="K5" s="214" t="s">
        <v>14</v>
      </c>
      <c r="L5" s="214"/>
      <c r="M5" s="17"/>
      <c r="N5" s="24"/>
    </row>
    <row r="6" s="211" customFormat="1" ht="18.75" customHeight="1" spans="2:17">
      <c r="B6" s="216" t="s">
        <v>15</v>
      </c>
      <c r="C6" s="217" t="s">
        <v>16</v>
      </c>
      <c r="D6" s="218">
        <f>D7</f>
        <v>1481.11</v>
      </c>
      <c r="E6" s="218">
        <f t="shared" ref="E6:J6" si="0">E7</f>
        <v>0</v>
      </c>
      <c r="F6" s="218">
        <f t="shared" si="0"/>
        <v>0</v>
      </c>
      <c r="G6" s="218">
        <f t="shared" si="0"/>
        <v>0</v>
      </c>
      <c r="H6" s="218">
        <f t="shared" si="0"/>
        <v>1481.11</v>
      </c>
      <c r="I6" s="219" t="s">
        <v>17</v>
      </c>
      <c r="J6" s="218">
        <f t="shared" si="0"/>
        <v>0.45</v>
      </c>
      <c r="K6" s="220">
        <f>H6/J6*10000</f>
        <v>32913555.5555556</v>
      </c>
      <c r="L6" s="221"/>
      <c r="M6" s="222"/>
      <c r="N6" s="223"/>
    </row>
    <row r="7" s="86" customFormat="1" ht="20.25" customHeight="1" spans="2:17">
      <c r="B7" s="219">
        <v>1.1</v>
      </c>
      <c r="C7" s="217" t="s">
        <v>18</v>
      </c>
      <c r="D7" s="224">
        <f>D8+D23+D28+D38+D41+D44+D48+D54+D58+D62+D66+D68</f>
        <v>1481.11</v>
      </c>
      <c r="E7" s="224">
        <f t="shared" ref="E7:H7" si="1">E8+E23+E28+E38+E41+E44+E48+E54+E58+E62+E66+E68</f>
        <v>0</v>
      </c>
      <c r="F7" s="224">
        <f t="shared" si="1"/>
        <v>0</v>
      </c>
      <c r="G7" s="224">
        <f t="shared" si="1"/>
        <v>0</v>
      </c>
      <c r="H7" s="224">
        <f t="shared" si="1"/>
        <v>1481.11</v>
      </c>
      <c r="I7" s="219" t="str">
        <f>I8</f>
        <v>km</v>
      </c>
      <c r="J7" s="219">
        <f>J8</f>
        <v>0.45</v>
      </c>
      <c r="K7" s="220">
        <f>H7/J7*10000</f>
        <v>32913555.5555556</v>
      </c>
      <c r="L7" s="219"/>
      <c r="M7" s="222"/>
      <c r="N7" s="223"/>
    </row>
    <row r="8" s="86" customFormat="1" ht="15.75" customHeight="1" spans="2:17">
      <c r="B8" s="225" t="s">
        <v>19</v>
      </c>
      <c r="C8" s="226" t="s">
        <v>20</v>
      </c>
      <c r="D8" s="227">
        <f>SUM(D9:D22)</f>
        <v>798.63</v>
      </c>
      <c r="E8" s="227"/>
      <c r="F8" s="227"/>
      <c r="G8" s="228"/>
      <c r="H8" s="227">
        <f>SUM(H9:H22)</f>
        <v>798.63</v>
      </c>
      <c r="I8" s="229" t="s">
        <v>17</v>
      </c>
      <c r="J8" s="230">
        <v>0.45</v>
      </c>
      <c r="K8" s="231">
        <f>H8/J8*10000</f>
        <v>17747333.3333333</v>
      </c>
      <c r="L8" s="232"/>
      <c r="M8" s="233"/>
      <c r="N8" s="234"/>
      <c r="Q8" s="235"/>
    </row>
    <row r="9" s="86" customFormat="1" ht="15.75" customHeight="1" spans="2:17">
      <c r="B9" s="35">
        <v>1</v>
      </c>
      <c r="C9" s="100" t="s">
        <v>21</v>
      </c>
      <c r="D9" s="236">
        <f>ROUND(J9*K9/10000,2)</f>
        <v>7.48</v>
      </c>
      <c r="E9" s="237"/>
      <c r="F9" s="237"/>
      <c r="G9" s="238"/>
      <c r="H9" s="238">
        <f>SUM(D9:G9)</f>
        <v>7.48</v>
      </c>
      <c r="I9" s="237" t="s">
        <v>22</v>
      </c>
      <c r="J9" s="237">
        <v>2355</v>
      </c>
      <c r="K9" s="239">
        <f>3.61+28.17</f>
        <v>31.78</v>
      </c>
      <c r="L9" s="35"/>
      <c r="M9" s="214"/>
      <c r="N9" s="234"/>
    </row>
    <row r="10" s="86" customFormat="1" ht="15.75" customHeight="1" spans="2:17">
      <c r="B10" s="21">
        <v>2</v>
      </c>
      <c r="C10" s="100" t="s">
        <v>23</v>
      </c>
      <c r="D10" s="236">
        <f t="shared" ref="D10:D20" si="2">ROUND(J10*K10/10000,2)</f>
        <v>54.47</v>
      </c>
      <c r="E10" s="240"/>
      <c r="F10" s="240"/>
      <c r="G10" s="241"/>
      <c r="H10" s="238">
        <f t="shared" ref="H10:H21" si="3">SUM(D10:G10)</f>
        <v>54.47</v>
      </c>
      <c r="I10" s="241" t="s">
        <v>22</v>
      </c>
      <c r="J10" s="237">
        <f>9202+4132</f>
        <v>13334</v>
      </c>
      <c r="K10" s="242">
        <v>40.85</v>
      </c>
      <c r="L10" s="21"/>
      <c r="M10" s="214"/>
      <c r="N10" s="234"/>
      <c r="P10" s="235"/>
    </row>
    <row r="11" s="86" customFormat="1" ht="15.75" customHeight="1" spans="2:17">
      <c r="B11" s="35">
        <v>3</v>
      </c>
      <c r="C11" s="100" t="s">
        <v>24</v>
      </c>
      <c r="D11" s="236">
        <f t="shared" si="2"/>
        <v>0.38</v>
      </c>
      <c r="E11" s="240"/>
      <c r="F11" s="240"/>
      <c r="G11" s="241"/>
      <c r="H11" s="238">
        <f t="shared" si="3"/>
        <v>0.38</v>
      </c>
      <c r="I11" s="241" t="s">
        <v>22</v>
      </c>
      <c r="J11" s="237">
        <v>286</v>
      </c>
      <c r="K11" s="242">
        <f>4.04+9.32</f>
        <v>13.36</v>
      </c>
      <c r="L11" s="21"/>
      <c r="M11" s="214"/>
      <c r="N11" s="234"/>
    </row>
    <row r="12" s="86" customFormat="1" ht="15.75" customHeight="1" spans="2:17">
      <c r="B12" s="21">
        <v>4</v>
      </c>
      <c r="C12" s="100" t="s">
        <v>25</v>
      </c>
      <c r="D12" s="236">
        <f t="shared" si="2"/>
        <v>69.48</v>
      </c>
      <c r="E12" s="240"/>
      <c r="F12" s="240"/>
      <c r="G12" s="241"/>
      <c r="H12" s="238">
        <f t="shared" si="3"/>
        <v>69.48</v>
      </c>
      <c r="I12" s="241" t="s">
        <v>22</v>
      </c>
      <c r="J12" s="237">
        <v>2886</v>
      </c>
      <c r="K12" s="242">
        <f>51.6+189.15</f>
        <v>240.75</v>
      </c>
      <c r="L12" s="21"/>
      <c r="M12" s="214"/>
      <c r="N12" s="243"/>
    </row>
    <row r="13" s="86" customFormat="1" ht="15.75" customHeight="1" spans="2:17">
      <c r="B13" s="35">
        <v>5</v>
      </c>
      <c r="C13" s="100" t="s">
        <v>26</v>
      </c>
      <c r="D13" s="236">
        <f t="shared" si="2"/>
        <v>24.74</v>
      </c>
      <c r="E13" s="21"/>
      <c r="F13" s="21"/>
      <c r="G13" s="103"/>
      <c r="H13" s="102">
        <f t="shared" si="3"/>
        <v>24.74</v>
      </c>
      <c r="I13" s="103" t="s">
        <v>27</v>
      </c>
      <c r="J13" s="35">
        <v>2734</v>
      </c>
      <c r="K13" s="185">
        <v>90.48</v>
      </c>
      <c r="L13" s="21"/>
      <c r="M13" s="214"/>
      <c r="N13" s="234"/>
    </row>
    <row r="14" s="86" customFormat="1" ht="15.75" customHeight="1" spans="2:17">
      <c r="B14" s="21">
        <v>6</v>
      </c>
      <c r="C14" s="100" t="s">
        <v>28</v>
      </c>
      <c r="D14" s="236">
        <f t="shared" si="2"/>
        <v>0</v>
      </c>
      <c r="E14" s="21"/>
      <c r="F14" s="21"/>
      <c r="G14" s="103"/>
      <c r="H14" s="102">
        <f t="shared" si="3"/>
        <v>0</v>
      </c>
      <c r="I14" s="103" t="s">
        <v>27</v>
      </c>
      <c r="J14" s="35">
        <v>0</v>
      </c>
      <c r="K14" s="185">
        <v>41.65</v>
      </c>
      <c r="L14" s="21"/>
      <c r="M14" s="214"/>
      <c r="N14" s="234"/>
    </row>
    <row r="15" s="86" customFormat="1" ht="15.75" customHeight="1" spans="2:17">
      <c r="B15" s="35">
        <v>7</v>
      </c>
      <c r="C15" s="100" t="s">
        <v>29</v>
      </c>
      <c r="D15" s="236">
        <f t="shared" si="2"/>
        <v>3.06</v>
      </c>
      <c r="E15" s="21"/>
      <c r="F15" s="21"/>
      <c r="G15" s="103"/>
      <c r="H15" s="102">
        <f t="shared" si="3"/>
        <v>3.06</v>
      </c>
      <c r="I15" s="103" t="s">
        <v>27</v>
      </c>
      <c r="J15" s="35">
        <v>800</v>
      </c>
      <c r="K15" s="185">
        <v>38.22</v>
      </c>
      <c r="L15" s="21"/>
      <c r="M15" s="214"/>
      <c r="N15" s="234"/>
    </row>
    <row r="16" s="86" customFormat="1" ht="15.75" customHeight="1" spans="2:17">
      <c r="B16" s="21">
        <v>8</v>
      </c>
      <c r="C16" s="100" t="s">
        <v>30</v>
      </c>
      <c r="D16" s="236">
        <f t="shared" si="2"/>
        <v>0</v>
      </c>
      <c r="E16" s="21"/>
      <c r="F16" s="21"/>
      <c r="G16" s="103"/>
      <c r="H16" s="102">
        <f t="shared" si="3"/>
        <v>0</v>
      </c>
      <c r="I16" s="103" t="s">
        <v>22</v>
      </c>
      <c r="J16" s="35">
        <v>0</v>
      </c>
      <c r="K16" s="185">
        <v>167.77</v>
      </c>
      <c r="L16" s="21"/>
      <c r="M16" s="214"/>
      <c r="N16" s="234"/>
    </row>
    <row r="17" s="86" customFormat="1" ht="15.75" customHeight="1" spans="2:14">
      <c r="B17" s="35">
        <v>9</v>
      </c>
      <c r="C17" s="244" t="s">
        <v>31</v>
      </c>
      <c r="D17" s="236">
        <f t="shared" si="2"/>
        <v>133.36</v>
      </c>
      <c r="E17" s="21"/>
      <c r="F17" s="21"/>
      <c r="G17" s="103"/>
      <c r="H17" s="102">
        <f t="shared" si="3"/>
        <v>133.36</v>
      </c>
      <c r="I17" s="103" t="s">
        <v>22</v>
      </c>
      <c r="J17" s="35">
        <v>5165</v>
      </c>
      <c r="K17" s="185">
        <v>258.19</v>
      </c>
      <c r="L17" s="21"/>
      <c r="M17" s="214"/>
      <c r="N17" s="234"/>
    </row>
    <row r="18" s="86" customFormat="1" ht="15.75" customHeight="1" spans="2:14">
      <c r="B18" s="21">
        <v>10</v>
      </c>
      <c r="C18" s="244" t="s">
        <v>32</v>
      </c>
      <c r="D18" s="236">
        <f t="shared" si="2"/>
        <v>27.16</v>
      </c>
      <c r="E18" s="21"/>
      <c r="F18" s="21"/>
      <c r="G18" s="103"/>
      <c r="H18" s="102">
        <f t="shared" si="3"/>
        <v>27.16</v>
      </c>
      <c r="I18" s="103" t="s">
        <v>27</v>
      </c>
      <c r="J18" s="35">
        <v>11914</v>
      </c>
      <c r="K18" s="185">
        <v>22.8</v>
      </c>
      <c r="L18" s="21"/>
      <c r="M18" s="214"/>
      <c r="N18" s="234"/>
    </row>
    <row r="19" s="86" customFormat="1" ht="15.75" customHeight="1" spans="2:14">
      <c r="B19" s="35">
        <v>11</v>
      </c>
      <c r="C19" s="100" t="s">
        <v>33</v>
      </c>
      <c r="D19" s="236">
        <f t="shared" si="2"/>
        <v>453.09</v>
      </c>
      <c r="E19" s="21"/>
      <c r="F19" s="21"/>
      <c r="G19" s="103"/>
      <c r="H19" s="102">
        <f t="shared" si="3"/>
        <v>453.09</v>
      </c>
      <c r="I19" s="16" t="s">
        <v>34</v>
      </c>
      <c r="J19" s="185">
        <v>79560</v>
      </c>
      <c r="K19" s="185">
        <v>56.95</v>
      </c>
      <c r="L19" s="21"/>
      <c r="M19" s="214"/>
      <c r="N19" s="33"/>
    </row>
    <row r="20" s="86" customFormat="1" ht="15.75" customHeight="1" spans="2:14">
      <c r="B20" s="21">
        <v>12</v>
      </c>
      <c r="C20" s="245" t="s">
        <v>35</v>
      </c>
      <c r="D20" s="236">
        <f t="shared" si="2"/>
        <v>25.41</v>
      </c>
      <c r="E20" s="21"/>
      <c r="F20" s="21"/>
      <c r="G20" s="103"/>
      <c r="H20" s="102">
        <f t="shared" si="3"/>
        <v>25.41</v>
      </c>
      <c r="I20" s="103" t="s">
        <v>22</v>
      </c>
      <c r="J20" s="35">
        <v>6198</v>
      </c>
      <c r="K20" s="57">
        <v>41</v>
      </c>
      <c r="L20" s="21"/>
      <c r="M20" s="214"/>
      <c r="N20" s="234"/>
    </row>
    <row r="21" s="86" customFormat="1" ht="15.75" customHeight="1" spans="2:14">
      <c r="B21" s="21">
        <v>13</v>
      </c>
      <c r="C21" s="245" t="s">
        <v>36</v>
      </c>
      <c r="D21" s="236"/>
      <c r="E21" s="21"/>
      <c r="F21" s="21"/>
      <c r="G21" s="103"/>
      <c r="H21" s="102">
        <f t="shared" si="3"/>
        <v>0</v>
      </c>
      <c r="I21" s="16" t="s">
        <v>34</v>
      </c>
      <c r="J21" s="35">
        <v>0</v>
      </c>
      <c r="K21" s="57">
        <v>103.6</v>
      </c>
      <c r="L21" s="21"/>
      <c r="M21" s="214"/>
      <c r="N21" s="234"/>
    </row>
    <row r="22" s="86" customFormat="1" ht="15.75" customHeight="1" spans="2:14">
      <c r="B22" s="35">
        <v>13</v>
      </c>
      <c r="C22" s="244" t="s">
        <v>37</v>
      </c>
      <c r="D22" s="101">
        <f t="shared" ref="D22:D27" si="4">ROUND(J22*K22/10000,2)</f>
        <v>0</v>
      </c>
      <c r="E22" s="21"/>
      <c r="F22" s="21"/>
      <c r="G22" s="103"/>
      <c r="H22" s="102">
        <f t="shared" ref="H22:H27" si="5">SUM(D22:G22)</f>
        <v>0</v>
      </c>
      <c r="I22" s="103" t="s">
        <v>38</v>
      </c>
      <c r="J22" s="35">
        <v>0</v>
      </c>
      <c r="K22" s="246">
        <v>7474.25</v>
      </c>
      <c r="L22" s="21"/>
      <c r="M22" s="214"/>
      <c r="N22" s="234"/>
    </row>
    <row r="23" s="86" customFormat="1" ht="15.75" customHeight="1" spans="2:14">
      <c r="B23" s="247" t="s">
        <v>39</v>
      </c>
      <c r="C23" s="248" t="s">
        <v>40</v>
      </c>
      <c r="D23" s="249">
        <f>SUM(D24:D27)</f>
        <v>284.7</v>
      </c>
      <c r="E23" s="247"/>
      <c r="F23" s="247"/>
      <c r="G23" s="250"/>
      <c r="H23" s="249">
        <f>SUM(H24:H27)</f>
        <v>284.7</v>
      </c>
      <c r="I23" s="251" t="s">
        <v>27</v>
      </c>
      <c r="J23" s="252">
        <f>J24+J25</f>
        <v>8884</v>
      </c>
      <c r="K23" s="252">
        <f>H23*10000/J23</f>
        <v>320.463755065286</v>
      </c>
      <c r="L23" s="247"/>
      <c r="M23" s="233"/>
      <c r="N23" s="234"/>
    </row>
    <row r="24" s="86" customFormat="1" ht="15.75" customHeight="1" spans="2:14">
      <c r="B24" s="247">
        <v>1</v>
      </c>
      <c r="C24" s="253" t="s">
        <v>41</v>
      </c>
      <c r="D24" s="254">
        <f t="shared" si="4"/>
        <v>200.12</v>
      </c>
      <c r="E24" s="247"/>
      <c r="F24" s="247"/>
      <c r="G24" s="250"/>
      <c r="H24" s="255">
        <f t="shared" si="5"/>
        <v>200.12</v>
      </c>
      <c r="I24" s="250" t="s">
        <v>27</v>
      </c>
      <c r="J24" s="230">
        <v>6048</v>
      </c>
      <c r="K24" s="252">
        <v>330.88</v>
      </c>
      <c r="L24" s="247"/>
      <c r="M24" s="233"/>
      <c r="N24" s="234"/>
    </row>
    <row r="25" s="86" customFormat="1" ht="15.75" customHeight="1" spans="2:14">
      <c r="B25" s="225">
        <v>2</v>
      </c>
      <c r="C25" s="226" t="s">
        <v>42</v>
      </c>
      <c r="D25" s="254">
        <f t="shared" si="4"/>
        <v>60.75</v>
      </c>
      <c r="E25" s="227"/>
      <c r="F25" s="227"/>
      <c r="G25" s="228"/>
      <c r="H25" s="255">
        <f t="shared" si="5"/>
        <v>60.75</v>
      </c>
      <c r="I25" s="229" t="s">
        <v>27</v>
      </c>
      <c r="J25" s="230">
        <v>2836</v>
      </c>
      <c r="K25" s="256">
        <v>214.2</v>
      </c>
      <c r="L25" s="232"/>
      <c r="M25" s="233"/>
      <c r="N25" s="234"/>
    </row>
    <row r="26" s="86" customFormat="1" ht="15.75" customHeight="1" spans="2:14">
      <c r="B26" s="230">
        <v>3</v>
      </c>
      <c r="C26" s="257" t="s">
        <v>43</v>
      </c>
      <c r="D26" s="254">
        <f t="shared" si="4"/>
        <v>11.49</v>
      </c>
      <c r="E26" s="230"/>
      <c r="F26" s="230"/>
      <c r="G26" s="255"/>
      <c r="H26" s="255">
        <f t="shared" si="5"/>
        <v>11.49</v>
      </c>
      <c r="I26" s="230" t="s">
        <v>34</v>
      </c>
      <c r="J26" s="230">
        <v>780</v>
      </c>
      <c r="K26" s="258">
        <v>147.35</v>
      </c>
      <c r="L26" s="230"/>
      <c r="M26" s="233"/>
      <c r="N26" s="234"/>
    </row>
    <row r="27" s="86" customFormat="1" ht="15.75" customHeight="1" spans="2:14">
      <c r="B27" s="230">
        <v>4</v>
      </c>
      <c r="C27" s="257" t="s">
        <v>44</v>
      </c>
      <c r="D27" s="254">
        <f t="shared" si="4"/>
        <v>12.34</v>
      </c>
      <c r="E27" s="230"/>
      <c r="F27" s="230"/>
      <c r="G27" s="255"/>
      <c r="H27" s="255">
        <f t="shared" si="5"/>
        <v>12.34</v>
      </c>
      <c r="I27" s="230" t="s">
        <v>34</v>
      </c>
      <c r="J27" s="230">
        <v>1365</v>
      </c>
      <c r="K27" s="258">
        <v>90.38</v>
      </c>
      <c r="L27" s="230"/>
      <c r="M27" s="233"/>
      <c r="N27" s="234"/>
    </row>
    <row r="28" s="86" customFormat="1" ht="15.75" customHeight="1" spans="2:14">
      <c r="B28" s="247" t="s">
        <v>45</v>
      </c>
      <c r="C28" s="253" t="s">
        <v>46</v>
      </c>
      <c r="D28" s="249">
        <f>SUM(D29:D37)</f>
        <v>45.45</v>
      </c>
      <c r="E28" s="247"/>
      <c r="F28" s="247"/>
      <c r="G28" s="250"/>
      <c r="H28" s="249">
        <f>SUM(H29:H37)</f>
        <v>45.45</v>
      </c>
      <c r="I28" s="250" t="s">
        <v>17</v>
      </c>
      <c r="J28" s="230">
        <v>0.58</v>
      </c>
      <c r="K28" s="231">
        <f>H28/J28*10000</f>
        <v>783620.689655173</v>
      </c>
      <c r="L28" s="247"/>
      <c r="M28" s="233"/>
      <c r="N28" s="234"/>
    </row>
    <row r="29" s="86" customFormat="1" ht="15.75" customHeight="1" spans="2:14">
      <c r="B29" s="247">
        <v>1</v>
      </c>
      <c r="C29" s="253" t="s">
        <v>47</v>
      </c>
      <c r="D29" s="254">
        <f t="shared" ref="D29:D37" si="6">ROUND(J29*K29/10000,2)</f>
        <v>1.72</v>
      </c>
      <c r="E29" s="247"/>
      <c r="F29" s="247"/>
      <c r="G29" s="250"/>
      <c r="H29" s="255">
        <f t="shared" ref="H29:H37" si="7">SUM(D29:G29)</f>
        <v>1.72</v>
      </c>
      <c r="I29" s="250" t="s">
        <v>27</v>
      </c>
      <c r="J29" s="230">
        <v>235</v>
      </c>
      <c r="K29" s="252">
        <v>73.06</v>
      </c>
      <c r="L29" s="247"/>
      <c r="M29" s="233"/>
      <c r="N29" s="234"/>
    </row>
    <row r="30" s="86" customFormat="1" ht="15.75" customHeight="1" spans="2:14">
      <c r="B30" s="247">
        <v>2</v>
      </c>
      <c r="C30" s="253" t="s">
        <v>48</v>
      </c>
      <c r="D30" s="254">
        <f t="shared" si="6"/>
        <v>1.88</v>
      </c>
      <c r="E30" s="247"/>
      <c r="F30" s="247"/>
      <c r="G30" s="250"/>
      <c r="H30" s="255">
        <f t="shared" si="7"/>
        <v>1.88</v>
      </c>
      <c r="I30" s="250" t="s">
        <v>49</v>
      </c>
      <c r="J30" s="230">
        <v>8</v>
      </c>
      <c r="K30" s="252">
        <f>1165.75+1185.55</f>
        <v>2351.3</v>
      </c>
      <c r="L30" s="247"/>
      <c r="M30" s="233"/>
      <c r="N30" s="234"/>
    </row>
    <row r="31" s="86" customFormat="1" ht="15.75" customHeight="1" spans="2:14">
      <c r="B31" s="247">
        <v>3</v>
      </c>
      <c r="C31" s="253" t="s">
        <v>50</v>
      </c>
      <c r="D31" s="254">
        <f t="shared" si="6"/>
        <v>8.79</v>
      </c>
      <c r="E31" s="247"/>
      <c r="F31" s="247"/>
      <c r="G31" s="250"/>
      <c r="H31" s="255">
        <f t="shared" si="7"/>
        <v>8.79</v>
      </c>
      <c r="I31" s="250" t="s">
        <v>49</v>
      </c>
      <c r="J31" s="230">
        <v>2</v>
      </c>
      <c r="K31" s="252">
        <f>8733.22+35216.29</f>
        <v>43949.51</v>
      </c>
      <c r="L31" s="247"/>
      <c r="M31" s="233"/>
      <c r="N31" s="234">
        <f>19.2994/0.45</f>
        <v>42.8875555555556</v>
      </c>
    </row>
    <row r="32" s="86" customFormat="1" ht="15.75" customHeight="1" spans="2:14">
      <c r="B32" s="247">
        <v>4</v>
      </c>
      <c r="C32" s="253" t="s">
        <v>51</v>
      </c>
      <c r="D32" s="254">
        <f t="shared" si="6"/>
        <v>4.78</v>
      </c>
      <c r="E32" s="247"/>
      <c r="F32" s="247"/>
      <c r="G32" s="250"/>
      <c r="H32" s="255">
        <f t="shared" si="7"/>
        <v>4.78</v>
      </c>
      <c r="I32" s="250" t="s">
        <v>52</v>
      </c>
      <c r="J32" s="230">
        <v>3</v>
      </c>
      <c r="K32" s="252">
        <f>13026.35+2891.16</f>
        <v>15917.51</v>
      </c>
      <c r="L32" s="247"/>
      <c r="M32" s="233"/>
      <c r="N32" s="234"/>
    </row>
    <row r="33" s="86" customFormat="1" ht="15.75" customHeight="1" spans="2:14">
      <c r="B33" s="247">
        <v>5</v>
      </c>
      <c r="C33" s="253" t="s">
        <v>53</v>
      </c>
      <c r="D33" s="254">
        <f t="shared" si="6"/>
        <v>2.14</v>
      </c>
      <c r="E33" s="247"/>
      <c r="F33" s="247"/>
      <c r="G33" s="250"/>
      <c r="H33" s="255">
        <f t="shared" si="7"/>
        <v>2.14</v>
      </c>
      <c r="I33" s="250" t="s">
        <v>52</v>
      </c>
      <c r="J33" s="230">
        <v>6</v>
      </c>
      <c r="K33" s="252">
        <f>1107.07+2453.43</f>
        <v>3560.5</v>
      </c>
      <c r="L33" s="247"/>
      <c r="M33" s="233"/>
      <c r="N33" s="234"/>
    </row>
    <row r="34" s="86" customFormat="1" ht="15.75" customHeight="1" spans="2:14">
      <c r="B34" s="247">
        <v>6</v>
      </c>
      <c r="C34" s="253" t="s">
        <v>54</v>
      </c>
      <c r="D34" s="254">
        <f t="shared" si="6"/>
        <v>4</v>
      </c>
      <c r="E34" s="247"/>
      <c r="F34" s="247"/>
      <c r="G34" s="250"/>
      <c r="H34" s="255">
        <f t="shared" si="7"/>
        <v>4</v>
      </c>
      <c r="I34" s="250" t="s">
        <v>55</v>
      </c>
      <c r="J34" s="230">
        <v>3</v>
      </c>
      <c r="K34" s="252">
        <v>13321.23</v>
      </c>
      <c r="L34" s="247"/>
      <c r="M34" s="233"/>
      <c r="N34" s="234"/>
    </row>
    <row r="35" s="86" customFormat="1" ht="15.75" customHeight="1" spans="2:14">
      <c r="B35" s="247">
        <v>7</v>
      </c>
      <c r="C35" s="253" t="s">
        <v>56</v>
      </c>
      <c r="D35" s="254">
        <f t="shared" si="6"/>
        <v>11</v>
      </c>
      <c r="E35" s="247"/>
      <c r="F35" s="247"/>
      <c r="G35" s="250"/>
      <c r="H35" s="255">
        <f t="shared" si="7"/>
        <v>11</v>
      </c>
      <c r="I35" s="230" t="s">
        <v>34</v>
      </c>
      <c r="J35" s="230">
        <v>440</v>
      </c>
      <c r="K35" s="252">
        <v>250</v>
      </c>
      <c r="L35" s="247"/>
      <c r="M35" s="233"/>
      <c r="N35" s="234"/>
    </row>
    <row r="36" s="86" customFormat="1" ht="15.75" customHeight="1" spans="2:14">
      <c r="B36" s="247">
        <v>8</v>
      </c>
      <c r="C36" s="253" t="s">
        <v>57</v>
      </c>
      <c r="D36" s="254">
        <f t="shared" si="6"/>
        <v>2.09</v>
      </c>
      <c r="E36" s="247"/>
      <c r="F36" s="247"/>
      <c r="G36" s="250"/>
      <c r="H36" s="255">
        <f t="shared" si="7"/>
        <v>2.09</v>
      </c>
      <c r="I36" s="230" t="s">
        <v>34</v>
      </c>
      <c r="J36" s="230">
        <v>110</v>
      </c>
      <c r="K36" s="252">
        <v>190.08</v>
      </c>
      <c r="L36" s="247"/>
      <c r="M36" s="233"/>
      <c r="N36" s="234"/>
    </row>
    <row r="37" s="86" customFormat="1" ht="15.75" customHeight="1" spans="2:14">
      <c r="B37" s="247">
        <v>9</v>
      </c>
      <c r="C37" s="253" t="s">
        <v>58</v>
      </c>
      <c r="D37" s="254">
        <f t="shared" si="6"/>
        <v>9.05</v>
      </c>
      <c r="E37" s="247"/>
      <c r="F37" s="247"/>
      <c r="G37" s="250"/>
      <c r="H37" s="255">
        <f t="shared" si="7"/>
        <v>9.05</v>
      </c>
      <c r="I37" s="230" t="s">
        <v>34</v>
      </c>
      <c r="J37" s="230">
        <v>400</v>
      </c>
      <c r="K37" s="252">
        <v>226.2</v>
      </c>
      <c r="L37" s="247"/>
      <c r="M37" s="233"/>
      <c r="N37" s="234"/>
    </row>
    <row r="38" s="86" customFormat="1" ht="15.75" customHeight="1" spans="2:14">
      <c r="B38" s="247" t="s">
        <v>59</v>
      </c>
      <c r="C38" s="253" t="s">
        <v>60</v>
      </c>
      <c r="D38" s="249">
        <f>SUM(D39:D40)</f>
        <v>0</v>
      </c>
      <c r="E38" s="247"/>
      <c r="F38" s="247"/>
      <c r="G38" s="250"/>
      <c r="H38" s="249">
        <f>SUM(H39:H40)</f>
        <v>0</v>
      </c>
      <c r="I38" s="250" t="s">
        <v>17</v>
      </c>
      <c r="J38" s="230">
        <v>0.45</v>
      </c>
      <c r="K38" s="252">
        <f>H38*10000/J38</f>
        <v>0</v>
      </c>
      <c r="L38" s="247"/>
      <c r="M38" s="233"/>
      <c r="N38" s="234"/>
    </row>
    <row r="39" s="86" customFormat="1" ht="15.75" customHeight="1" spans="2:14">
      <c r="B39" s="247">
        <v>1</v>
      </c>
      <c r="C39" s="253" t="s">
        <v>61</v>
      </c>
      <c r="D39" s="254">
        <f>ROUND(J39*K39/10000,2)</f>
        <v>0</v>
      </c>
      <c r="E39" s="247"/>
      <c r="F39" s="247"/>
      <c r="G39" s="250"/>
      <c r="H39" s="255">
        <f>SUM(D39:G39)</f>
        <v>0</v>
      </c>
      <c r="I39" s="250" t="s">
        <v>34</v>
      </c>
      <c r="J39" s="230">
        <v>0</v>
      </c>
      <c r="K39" s="252"/>
      <c r="L39" s="247"/>
      <c r="M39" s="233"/>
      <c r="N39" s="234">
        <f>178/7</f>
        <v>25.4285714285714</v>
      </c>
    </row>
    <row r="40" s="86" customFormat="1" ht="15.75" customHeight="1" spans="2:14">
      <c r="B40" s="247">
        <v>2</v>
      </c>
      <c r="C40" s="253" t="s">
        <v>62</v>
      </c>
      <c r="D40" s="254">
        <f>ROUND(J40*K40/10000,2)</f>
        <v>0</v>
      </c>
      <c r="E40" s="247"/>
      <c r="F40" s="247"/>
      <c r="G40" s="250"/>
      <c r="H40" s="255">
        <f t="shared" ref="H40" si="8">SUM(D40:G40)</f>
        <v>0</v>
      </c>
      <c r="I40" s="250" t="s">
        <v>27</v>
      </c>
      <c r="J40" s="230">
        <v>0</v>
      </c>
      <c r="K40" s="252">
        <v>12000</v>
      </c>
      <c r="L40" s="247"/>
      <c r="M40" s="233"/>
      <c r="N40" s="234"/>
    </row>
    <row r="41" s="86" customFormat="1" ht="15.75" customHeight="1" spans="2:14">
      <c r="B41" s="247" t="s">
        <v>63</v>
      </c>
      <c r="C41" s="248" t="s">
        <v>64</v>
      </c>
      <c r="D41" s="249">
        <f>SUM(D42:D43)</f>
        <v>25.86</v>
      </c>
      <c r="E41" s="247"/>
      <c r="F41" s="247"/>
      <c r="G41" s="250"/>
      <c r="H41" s="249">
        <f>SUM(H42:H43)</f>
        <v>25.86</v>
      </c>
      <c r="I41" s="250" t="s">
        <v>17</v>
      </c>
      <c r="J41" s="230">
        <v>0.45</v>
      </c>
      <c r="K41" s="252">
        <f>H41*10000/J41</f>
        <v>574666.666666667</v>
      </c>
      <c r="L41" s="247"/>
      <c r="M41" s="233"/>
      <c r="N41" s="234"/>
    </row>
    <row r="42" s="86" customFormat="1" ht="15.75" customHeight="1" spans="2:14">
      <c r="B42" s="247">
        <v>1</v>
      </c>
      <c r="C42" s="248" t="s">
        <v>65</v>
      </c>
      <c r="D42" s="254">
        <f>ROUND(J42*K42/10000,2)</f>
        <v>0</v>
      </c>
      <c r="E42" s="247"/>
      <c r="F42" s="247"/>
      <c r="G42" s="250"/>
      <c r="H42" s="255">
        <f t="shared" ref="H42:H47" si="9">SUM(D42:G42)</f>
        <v>0</v>
      </c>
      <c r="I42" s="250" t="s">
        <v>34</v>
      </c>
      <c r="J42" s="230">
        <v>0</v>
      </c>
      <c r="K42" s="230">
        <v>457.8</v>
      </c>
      <c r="L42" s="247"/>
      <c r="M42" s="233"/>
      <c r="N42" s="234"/>
    </row>
    <row r="43" s="86" customFormat="1" ht="15.75" customHeight="1" spans="2:14">
      <c r="B43" s="247">
        <v>2</v>
      </c>
      <c r="C43" s="248" t="s">
        <v>66</v>
      </c>
      <c r="D43" s="254">
        <f>ROUND(J43*K43/10000,2)</f>
        <v>25.86</v>
      </c>
      <c r="E43" s="247"/>
      <c r="F43" s="247"/>
      <c r="G43" s="250"/>
      <c r="H43" s="255">
        <f t="shared" si="9"/>
        <v>25.86</v>
      </c>
      <c r="I43" s="250" t="s">
        <v>34</v>
      </c>
      <c r="J43" s="230">
        <v>450</v>
      </c>
      <c r="K43" s="230">
        <v>574.57</v>
      </c>
      <c r="L43" s="247"/>
      <c r="M43" s="233"/>
      <c r="N43" s="234"/>
    </row>
    <row r="44" s="86" customFormat="1" ht="15.75" customHeight="1" spans="2:14">
      <c r="B44" s="247" t="s">
        <v>67</v>
      </c>
      <c r="C44" s="253" t="s">
        <v>68</v>
      </c>
      <c r="D44" s="249">
        <f>SUM(D46:D47)</f>
        <v>208.65</v>
      </c>
      <c r="E44" s="247"/>
      <c r="F44" s="247"/>
      <c r="G44" s="250"/>
      <c r="H44" s="249">
        <f>SUM(H45:H47)</f>
        <v>208.65</v>
      </c>
      <c r="I44" s="250" t="s">
        <v>17</v>
      </c>
      <c r="J44" s="230">
        <v>0.45</v>
      </c>
      <c r="K44" s="252">
        <f>H44*10000/J44</f>
        <v>4636666.66666667</v>
      </c>
      <c r="L44" s="247"/>
      <c r="M44" s="233"/>
      <c r="N44" s="234"/>
    </row>
    <row r="45" s="86" customFormat="1" ht="15.75" customHeight="1" spans="2:14">
      <c r="B45" s="247">
        <v>1</v>
      </c>
      <c r="C45" s="253" t="s">
        <v>69</v>
      </c>
      <c r="D45" s="249"/>
      <c r="E45" s="247"/>
      <c r="F45" s="247"/>
      <c r="G45" s="250"/>
      <c r="H45" s="255">
        <f t="shared" si="9"/>
        <v>0</v>
      </c>
      <c r="I45" s="250" t="s">
        <v>34</v>
      </c>
      <c r="J45" s="230"/>
      <c r="K45" s="252">
        <v>1929.35</v>
      </c>
      <c r="L45" s="247"/>
      <c r="M45" s="233"/>
      <c r="N45" s="234">
        <f>868208/450</f>
        <v>1929.35111111111</v>
      </c>
    </row>
    <row r="46" s="86" customFormat="1" ht="15.75" customHeight="1" spans="2:14">
      <c r="B46" s="247">
        <v>1</v>
      </c>
      <c r="C46" s="253" t="s">
        <v>70</v>
      </c>
      <c r="D46" s="254">
        <f t="shared" ref="D46:D53" si="10">ROUND(J46*K46/10000,2)</f>
        <v>0</v>
      </c>
      <c r="E46" s="247"/>
      <c r="F46" s="247"/>
      <c r="G46" s="250"/>
      <c r="H46" s="255">
        <f t="shared" si="9"/>
        <v>0</v>
      </c>
      <c r="I46" s="250" t="s">
        <v>34</v>
      </c>
      <c r="J46" s="230"/>
      <c r="K46" s="252">
        <v>1945.82</v>
      </c>
      <c r="L46" s="233"/>
      <c r="M46" s="233"/>
      <c r="N46" s="234">
        <f>875617/450</f>
        <v>1945.81555555556</v>
      </c>
    </row>
    <row r="47" s="86" customFormat="1" ht="15.75" customHeight="1" spans="2:14">
      <c r="B47" s="247">
        <v>2</v>
      </c>
      <c r="C47" s="253" t="s">
        <v>71</v>
      </c>
      <c r="D47" s="254">
        <f t="shared" si="10"/>
        <v>208.65</v>
      </c>
      <c r="E47" s="247"/>
      <c r="F47" s="247"/>
      <c r="G47" s="250"/>
      <c r="H47" s="255">
        <f t="shared" si="9"/>
        <v>208.65</v>
      </c>
      <c r="I47" s="250" t="s">
        <v>34</v>
      </c>
      <c r="J47" s="230">
        <v>450</v>
      </c>
      <c r="K47" s="252">
        <v>4636.73</v>
      </c>
      <c r="L47" s="233"/>
      <c r="M47" s="233"/>
      <c r="N47" s="234">
        <f>2086527/450</f>
        <v>4636.72666666667</v>
      </c>
    </row>
    <row r="48" s="86" customFormat="1" ht="15.75" customHeight="1" spans="2:14">
      <c r="B48" s="247" t="s">
        <v>72</v>
      </c>
      <c r="C48" s="253" t="s">
        <v>73</v>
      </c>
      <c r="D48" s="249">
        <f>SUM(D49:D52)</f>
        <v>95.87</v>
      </c>
      <c r="E48" s="247"/>
      <c r="F48" s="247"/>
      <c r="G48" s="250"/>
      <c r="H48" s="249">
        <f>SUM(H49:H52)</f>
        <v>95.87</v>
      </c>
      <c r="I48" s="250" t="s">
        <v>17</v>
      </c>
      <c r="J48" s="230">
        <v>0.45</v>
      </c>
      <c r="K48" s="252">
        <f>H48*10000/J48</f>
        <v>2130444.44444444</v>
      </c>
      <c r="L48" s="233"/>
      <c r="M48" s="233"/>
      <c r="N48" s="234"/>
    </row>
    <row r="49" s="86" customFormat="1" ht="15.75" customHeight="1" spans="2:14">
      <c r="B49" s="247">
        <v>1</v>
      </c>
      <c r="C49" s="253" t="s">
        <v>74</v>
      </c>
      <c r="D49" s="254">
        <f t="shared" si="10"/>
        <v>0</v>
      </c>
      <c r="E49" s="247"/>
      <c r="F49" s="247"/>
      <c r="G49" s="250"/>
      <c r="H49" s="255">
        <f>SUM(D49:G49)</f>
        <v>0</v>
      </c>
      <c r="I49" s="250" t="s">
        <v>34</v>
      </c>
      <c r="J49" s="230"/>
      <c r="K49" s="185">
        <v>2102</v>
      </c>
      <c r="L49" s="233"/>
      <c r="M49" s="233"/>
      <c r="N49" s="234"/>
    </row>
    <row r="50" s="86" customFormat="1" ht="15.75" customHeight="1" spans="2:14">
      <c r="B50" s="247">
        <v>2</v>
      </c>
      <c r="C50" s="253" t="s">
        <v>75</v>
      </c>
      <c r="D50" s="254">
        <f t="shared" si="10"/>
        <v>0</v>
      </c>
      <c r="E50" s="247"/>
      <c r="F50" s="247"/>
      <c r="G50" s="250"/>
      <c r="H50" s="255">
        <f>SUM(D50:G50)</f>
        <v>0</v>
      </c>
      <c r="I50" s="250" t="s">
        <v>34</v>
      </c>
      <c r="J50" s="230"/>
      <c r="K50" s="185"/>
      <c r="L50" s="233"/>
      <c r="M50" s="233"/>
      <c r="N50" s="234"/>
    </row>
    <row r="51" s="86" customFormat="1" ht="15.75" customHeight="1" spans="2:14">
      <c r="B51" s="247">
        <v>3</v>
      </c>
      <c r="C51" s="257" t="s">
        <v>76</v>
      </c>
      <c r="D51" s="254">
        <f t="shared" si="10"/>
        <v>50.54</v>
      </c>
      <c r="E51" s="254"/>
      <c r="F51" s="230"/>
      <c r="G51" s="255"/>
      <c r="H51" s="255">
        <f>SUM(D51:G51)</f>
        <v>50.54</v>
      </c>
      <c r="I51" s="230" t="s">
        <v>34</v>
      </c>
      <c r="J51" s="230">
        <v>450</v>
      </c>
      <c r="K51" s="246">
        <f>1123.018</f>
        <v>1123.018</v>
      </c>
      <c r="L51" s="259"/>
      <c r="M51" s="233"/>
      <c r="N51" s="234">
        <f>505358.1/450</f>
        <v>1123.018</v>
      </c>
    </row>
    <row r="52" s="86" customFormat="1" ht="15.75" customHeight="1" spans="2:14">
      <c r="B52" s="247">
        <v>4</v>
      </c>
      <c r="C52" s="257" t="s">
        <v>77</v>
      </c>
      <c r="D52" s="254">
        <f t="shared" si="10"/>
        <v>45.33</v>
      </c>
      <c r="E52" s="254"/>
      <c r="F52" s="230"/>
      <c r="G52" s="255"/>
      <c r="H52" s="255">
        <f>SUM(D52:G52)</f>
        <v>45.33</v>
      </c>
      <c r="I52" s="230" t="s">
        <v>34</v>
      </c>
      <c r="J52" s="230">
        <f>450*2</f>
        <v>900</v>
      </c>
      <c r="K52" s="246">
        <v>503.67</v>
      </c>
      <c r="L52" s="259"/>
      <c r="M52" s="233"/>
      <c r="N52" s="234"/>
    </row>
    <row r="53" s="86" customFormat="1" ht="15.75" customHeight="1" spans="2:14">
      <c r="B53" s="247">
        <v>5</v>
      </c>
      <c r="C53" s="257" t="s">
        <v>78</v>
      </c>
      <c r="D53" s="254">
        <f t="shared" si="10"/>
        <v>0</v>
      </c>
      <c r="E53" s="254"/>
      <c r="F53" s="230"/>
      <c r="G53" s="255"/>
      <c r="H53" s="255">
        <f>SUM(D53:G53)</f>
        <v>0</v>
      </c>
      <c r="I53" s="230" t="s">
        <v>34</v>
      </c>
      <c r="J53" s="230"/>
      <c r="K53" s="246"/>
      <c r="L53" s="259"/>
      <c r="M53" s="233"/>
      <c r="N53" s="234"/>
    </row>
    <row r="54" s="86" customFormat="1" ht="15.75" customHeight="1" spans="2:14">
      <c r="B54" s="247" t="s">
        <v>79</v>
      </c>
      <c r="C54" s="253" t="s">
        <v>80</v>
      </c>
      <c r="D54" s="249"/>
      <c r="E54" s="249">
        <f>SUM(E55:E57)</f>
        <v>0</v>
      </c>
      <c r="F54" s="247"/>
      <c r="G54" s="250"/>
      <c r="H54" s="249">
        <f>SUM(H55:H57)</f>
        <v>0</v>
      </c>
      <c r="I54" s="250" t="s">
        <v>17</v>
      </c>
      <c r="J54" s="230">
        <v>0.45</v>
      </c>
      <c r="K54" s="252">
        <f>H54*10000/J54</f>
        <v>0</v>
      </c>
      <c r="L54" s="233"/>
      <c r="M54" s="247"/>
      <c r="N54" s="260"/>
    </row>
    <row r="55" s="86" customFormat="1" ht="15.75" customHeight="1" spans="2:14">
      <c r="B55" s="230">
        <v>1</v>
      </c>
      <c r="C55" s="257" t="s">
        <v>81</v>
      </c>
      <c r="D55" s="254"/>
      <c r="E55" s="254">
        <f>ROUND(J55*K55/10000,2)</f>
        <v>0</v>
      </c>
      <c r="F55" s="230"/>
      <c r="G55" s="255"/>
      <c r="H55" s="255">
        <f t="shared" ref="H55:H57" si="11">SUM(D55:G55)</f>
        <v>0</v>
      </c>
      <c r="I55" s="230" t="s">
        <v>52</v>
      </c>
      <c r="J55" s="230"/>
      <c r="K55" s="258">
        <v>204700</v>
      </c>
      <c r="L55" s="259"/>
      <c r="M55" s="233"/>
      <c r="N55" s="234"/>
    </row>
    <row r="56" s="86" customFormat="1" ht="15.75" customHeight="1" spans="2:14">
      <c r="B56" s="247">
        <v>2</v>
      </c>
      <c r="C56" s="253" t="s">
        <v>82</v>
      </c>
      <c r="D56" s="249"/>
      <c r="E56" s="254">
        <f t="shared" ref="E56:E57" si="12">ROUND(J56*K56/10000,2)</f>
        <v>0</v>
      </c>
      <c r="F56" s="247"/>
      <c r="G56" s="250"/>
      <c r="H56" s="255">
        <f t="shared" si="11"/>
        <v>0</v>
      </c>
      <c r="I56" s="250" t="s">
        <v>52</v>
      </c>
      <c r="J56" s="230"/>
      <c r="K56" s="252">
        <v>27169</v>
      </c>
      <c r="L56" s="233"/>
      <c r="M56" s="247"/>
      <c r="N56" s="260"/>
    </row>
    <row r="57" s="86" customFormat="1" ht="15.75" customHeight="1" spans="2:14">
      <c r="B57" s="247">
        <v>3</v>
      </c>
      <c r="C57" s="253" t="s">
        <v>83</v>
      </c>
      <c r="D57" s="249"/>
      <c r="E57" s="254">
        <f t="shared" si="12"/>
        <v>0</v>
      </c>
      <c r="F57" s="247"/>
      <c r="G57" s="250"/>
      <c r="H57" s="255">
        <f t="shared" si="11"/>
        <v>0</v>
      </c>
      <c r="I57" s="250" t="s">
        <v>52</v>
      </c>
      <c r="J57" s="230"/>
      <c r="K57" s="252">
        <v>42525</v>
      </c>
      <c r="L57" s="233"/>
      <c r="M57" s="247"/>
      <c r="N57" s="260"/>
    </row>
    <row r="58" s="86" customFormat="1" ht="15.75" customHeight="1" spans="2:14">
      <c r="B58" s="230" t="s">
        <v>84</v>
      </c>
      <c r="C58" s="257" t="s">
        <v>85</v>
      </c>
      <c r="D58" s="249">
        <f>SUM(D59:D61)</f>
        <v>0</v>
      </c>
      <c r="E58" s="230"/>
      <c r="F58" s="230"/>
      <c r="G58" s="255"/>
      <c r="H58" s="249">
        <f>SUM(H59:H61)</f>
        <v>0</v>
      </c>
      <c r="I58" s="230" t="s">
        <v>17</v>
      </c>
      <c r="J58" s="230">
        <v>0.45</v>
      </c>
      <c r="K58" s="252">
        <f>H58*10000/J58</f>
        <v>0</v>
      </c>
      <c r="L58" s="259"/>
      <c r="M58" s="247"/>
      <c r="N58" s="260"/>
    </row>
    <row r="59" s="86" customFormat="1" ht="15.75" customHeight="1" spans="2:14">
      <c r="B59" s="247">
        <v>1</v>
      </c>
      <c r="C59" s="253" t="s">
        <v>86</v>
      </c>
      <c r="D59" s="254">
        <f t="shared" ref="D59:D67" si="13">ROUND(J59*K59/10000,2)</f>
        <v>0</v>
      </c>
      <c r="E59" s="247"/>
      <c r="F59" s="247"/>
      <c r="G59" s="250"/>
      <c r="H59" s="255">
        <f t="shared" ref="H59:H61" si="14">SUM(D59:G59)</f>
        <v>0</v>
      </c>
      <c r="I59" s="250" t="s">
        <v>34</v>
      </c>
      <c r="J59" s="230"/>
      <c r="K59" s="252">
        <v>260</v>
      </c>
      <c r="L59" s="233"/>
      <c r="M59" s="247"/>
      <c r="N59" s="260"/>
    </row>
    <row r="60" s="86" customFormat="1" ht="15.75" customHeight="1" spans="2:14">
      <c r="B60" s="247">
        <v>2</v>
      </c>
      <c r="C60" s="253" t="s">
        <v>87</v>
      </c>
      <c r="D60" s="254">
        <f t="shared" si="13"/>
        <v>0</v>
      </c>
      <c r="E60" s="247"/>
      <c r="F60" s="247"/>
      <c r="G60" s="250"/>
      <c r="H60" s="255">
        <f t="shared" si="14"/>
        <v>0</v>
      </c>
      <c r="I60" s="250" t="s">
        <v>49</v>
      </c>
      <c r="J60" s="230"/>
      <c r="K60" s="252">
        <v>40968</v>
      </c>
      <c r="L60" s="233"/>
      <c r="M60" s="247"/>
      <c r="N60" s="260"/>
    </row>
    <row r="61" s="86" customFormat="1" ht="15.75" customHeight="1" spans="2:14">
      <c r="B61" s="247">
        <v>3</v>
      </c>
      <c r="C61" s="253" t="s">
        <v>88</v>
      </c>
      <c r="D61" s="254">
        <f t="shared" si="13"/>
        <v>0</v>
      </c>
      <c r="E61" s="247"/>
      <c r="F61" s="247"/>
      <c r="G61" s="250"/>
      <c r="H61" s="255">
        <f t="shared" si="14"/>
        <v>0</v>
      </c>
      <c r="I61" s="250" t="s">
        <v>49</v>
      </c>
      <c r="J61" s="230"/>
      <c r="K61" s="252">
        <v>41973</v>
      </c>
      <c r="L61" s="233"/>
      <c r="M61" s="247"/>
      <c r="N61" s="260"/>
    </row>
    <row r="62" s="86" customFormat="1" ht="15.75" customHeight="1" spans="2:14">
      <c r="B62" s="230" t="s">
        <v>89</v>
      </c>
      <c r="C62" s="257" t="s">
        <v>90</v>
      </c>
      <c r="D62" s="249">
        <f>SUM(D63:D65)</f>
        <v>0</v>
      </c>
      <c r="E62" s="230"/>
      <c r="F62" s="230"/>
      <c r="G62" s="255"/>
      <c r="H62" s="249">
        <f>SUM(H63:H65)</f>
        <v>0</v>
      </c>
      <c r="I62" s="230" t="s">
        <v>17</v>
      </c>
      <c r="J62" s="230">
        <v>0.45</v>
      </c>
      <c r="K62" s="252">
        <f>H62*10000/J62</f>
        <v>0</v>
      </c>
      <c r="L62" s="259"/>
      <c r="M62" s="233"/>
      <c r="N62" s="234"/>
    </row>
    <row r="63" s="86" customFormat="1" ht="15.75" customHeight="1" spans="2:14">
      <c r="B63" s="247">
        <v>1</v>
      </c>
      <c r="C63" s="253" t="s">
        <v>91</v>
      </c>
      <c r="D63" s="254">
        <f t="shared" si="13"/>
        <v>0</v>
      </c>
      <c r="E63" s="247"/>
      <c r="F63" s="247"/>
      <c r="G63" s="250"/>
      <c r="H63" s="255">
        <f t="shared" ref="H63:H65" si="15">SUM(D63:G63)</f>
        <v>0</v>
      </c>
      <c r="I63" s="250" t="s">
        <v>34</v>
      </c>
      <c r="J63" s="230"/>
      <c r="K63" s="252">
        <v>126</v>
      </c>
      <c r="L63" s="233"/>
      <c r="M63" s="233"/>
      <c r="N63" s="234"/>
    </row>
    <row r="64" s="86" customFormat="1" ht="15.75" customHeight="1" spans="2:14">
      <c r="B64" s="247">
        <v>2</v>
      </c>
      <c r="C64" s="253" t="s">
        <v>92</v>
      </c>
      <c r="D64" s="254">
        <f t="shared" si="13"/>
        <v>0</v>
      </c>
      <c r="E64" s="247"/>
      <c r="F64" s="247"/>
      <c r="G64" s="250"/>
      <c r="H64" s="255">
        <f t="shared" si="15"/>
        <v>0</v>
      </c>
      <c r="I64" s="250" t="s">
        <v>49</v>
      </c>
      <c r="J64" s="230"/>
      <c r="K64" s="252">
        <v>30000</v>
      </c>
      <c r="L64" s="233"/>
      <c r="M64" s="233"/>
      <c r="N64" s="234"/>
    </row>
    <row r="65" s="86" customFormat="1" ht="15.75" customHeight="1" spans="2:14">
      <c r="B65" s="247">
        <v>3</v>
      </c>
      <c r="C65" s="253" t="s">
        <v>93</v>
      </c>
      <c r="D65" s="254">
        <f t="shared" si="13"/>
        <v>0</v>
      </c>
      <c r="E65" s="247"/>
      <c r="F65" s="247"/>
      <c r="G65" s="250"/>
      <c r="H65" s="255">
        <f t="shared" si="15"/>
        <v>0</v>
      </c>
      <c r="I65" s="250" t="s">
        <v>34</v>
      </c>
      <c r="J65" s="230"/>
      <c r="K65" s="252">
        <v>162</v>
      </c>
      <c r="L65" s="233"/>
      <c r="M65" s="233"/>
      <c r="N65" s="234"/>
    </row>
    <row r="66" s="86" customFormat="1" ht="15.75" customHeight="1" spans="2:14">
      <c r="B66" s="247" t="s">
        <v>94</v>
      </c>
      <c r="C66" s="253" t="s">
        <v>95</v>
      </c>
      <c r="D66" s="249">
        <f>SUM(D67:D67)</f>
        <v>21.95</v>
      </c>
      <c r="E66" s="247"/>
      <c r="F66" s="247"/>
      <c r="G66" s="250"/>
      <c r="H66" s="249">
        <f>SUM(H67:H67)</f>
        <v>21.95</v>
      </c>
      <c r="I66" s="250" t="s">
        <v>17</v>
      </c>
      <c r="J66" s="230">
        <v>0.45</v>
      </c>
      <c r="K66" s="252">
        <f>H66*10000/J66</f>
        <v>487777.777777778</v>
      </c>
      <c r="L66" s="233"/>
      <c r="M66" s="233"/>
      <c r="N66" s="234"/>
    </row>
    <row r="67" s="86" customFormat="1" ht="15.75" customHeight="1" spans="2:14">
      <c r="B67" s="233">
        <v>1</v>
      </c>
      <c r="C67" s="261" t="s">
        <v>96</v>
      </c>
      <c r="D67" s="254">
        <f t="shared" si="13"/>
        <v>21.95</v>
      </c>
      <c r="E67" s="233"/>
      <c r="F67" s="233"/>
      <c r="G67" s="262"/>
      <c r="H67" s="255">
        <f>SUM(D67:G67)</f>
        <v>21.95</v>
      </c>
      <c r="I67" s="262" t="s">
        <v>97</v>
      </c>
      <c r="J67" s="259">
        <v>110</v>
      </c>
      <c r="K67" s="263">
        <v>1995</v>
      </c>
      <c r="L67" s="233"/>
      <c r="M67" s="233"/>
      <c r="N67" s="234">
        <f>219490/110</f>
        <v>1995.36363636364</v>
      </c>
    </row>
    <row r="68" s="86" customFormat="1" ht="15.75" customHeight="1" spans="2:14">
      <c r="B68" s="57"/>
      <c r="C68" s="264"/>
      <c r="D68" s="227"/>
      <c r="E68" s="57"/>
      <c r="F68" s="57"/>
      <c r="G68" s="265"/>
      <c r="H68" s="227"/>
      <c r="I68" s="57"/>
      <c r="J68" s="57"/>
      <c r="K68" s="252"/>
      <c r="L68" s="57"/>
      <c r="M68" s="17"/>
      <c r="N68" s="24"/>
    </row>
    <row r="69" s="86" customFormat="1" ht="15.75" customHeight="1" spans="2:14">
      <c r="B69" s="57"/>
      <c r="C69" s="264"/>
      <c r="D69" s="254"/>
      <c r="E69" s="57"/>
      <c r="F69" s="57"/>
      <c r="G69" s="265"/>
      <c r="H69" s="255"/>
      <c r="I69" s="57"/>
      <c r="J69" s="57"/>
      <c r="K69" s="57"/>
      <c r="L69" s="57"/>
      <c r="M69" s="17"/>
      <c r="N69" s="24"/>
    </row>
    <row r="70" s="86" customFormat="1" ht="21" customHeight="1" spans="2:14">
      <c r="B70" s="266" t="s">
        <v>98</v>
      </c>
      <c r="C70" s="267" t="s">
        <v>99</v>
      </c>
      <c r="D70" s="268"/>
      <c r="E70" s="269"/>
      <c r="F70" s="269"/>
      <c r="G70" s="46">
        <f>SUM(G71,G85:G101)</f>
        <v>6798.56</v>
      </c>
      <c r="H70" s="270">
        <f>G70</f>
        <v>6798.56</v>
      </c>
      <c r="I70" s="43" t="str">
        <f>I6</f>
        <v>km</v>
      </c>
      <c r="J70" s="43">
        <f>J6</f>
        <v>0.45</v>
      </c>
      <c r="K70" s="220">
        <f>H70/J70*10000</f>
        <v>151079111.111111</v>
      </c>
      <c r="L70" s="43"/>
      <c r="M70" s="50"/>
      <c r="N70" s="51"/>
    </row>
    <row r="71" ht="16.5" customHeight="1" spans="2:14">
      <c r="B71" s="271">
        <v>1</v>
      </c>
      <c r="C71" s="168" t="s">
        <v>100</v>
      </c>
      <c r="D71" s="272"/>
      <c r="E71" s="272"/>
      <c r="F71" s="272"/>
      <c r="G71" s="273">
        <f>G72+G73+G76</f>
        <v>6249.18</v>
      </c>
      <c r="H71" s="274">
        <f>G71</f>
        <v>6249.18</v>
      </c>
      <c r="I71" s="275"/>
      <c r="J71" s="275"/>
      <c r="K71" s="275"/>
      <c r="L71" s="275"/>
      <c r="M71" s="275"/>
      <c r="N71" s="276"/>
    </row>
    <row r="72" ht="16.5" customHeight="1" spans="2:14">
      <c r="B72" s="271">
        <v>1.1</v>
      </c>
      <c r="C72" s="54" t="s">
        <v>101</v>
      </c>
      <c r="D72" s="277"/>
      <c r="E72" s="190"/>
      <c r="F72" s="190"/>
      <c r="G72" s="275">
        <f>ROUND(J72*K72/10000,2)</f>
        <v>112.5</v>
      </c>
      <c r="H72" s="275">
        <f>G72</f>
        <v>112.5</v>
      </c>
      <c r="I72" s="175" t="s">
        <v>102</v>
      </c>
      <c r="J72" s="53">
        <v>37.5</v>
      </c>
      <c r="K72" s="176">
        <v>30000</v>
      </c>
      <c r="L72" s="275"/>
      <c r="M72" s="275"/>
      <c r="N72" s="276"/>
    </row>
    <row r="73" ht="16.5" customHeight="1" spans="2:14">
      <c r="B73" s="271">
        <v>1.2</v>
      </c>
      <c r="C73" s="54" t="s">
        <v>103</v>
      </c>
      <c r="D73" s="277"/>
      <c r="E73" s="190"/>
      <c r="F73" s="190"/>
      <c r="G73" s="275">
        <f>G74+G75</f>
        <v>1420.33</v>
      </c>
      <c r="H73" s="275">
        <f t="shared" ref="H73:H103" si="16">G73</f>
        <v>1420.33</v>
      </c>
      <c r="I73" s="175"/>
      <c r="J73" s="53"/>
      <c r="K73" s="176"/>
      <c r="L73" s="275"/>
      <c r="M73" s="275"/>
      <c r="N73" s="276"/>
    </row>
    <row r="74" ht="16.5" customHeight="1" spans="2:14">
      <c r="B74" s="271" t="s">
        <v>104</v>
      </c>
      <c r="C74" s="54" t="s">
        <v>105</v>
      </c>
      <c r="D74" s="277"/>
      <c r="E74" s="190"/>
      <c r="F74" s="190"/>
      <c r="G74" s="275">
        <f t="shared" ref="G74:G84" si="17">ROUND(J74*K74/10000,2)</f>
        <v>1417.8</v>
      </c>
      <c r="H74" s="275">
        <f t="shared" si="16"/>
        <v>1417.8</v>
      </c>
      <c r="I74" s="175" t="s">
        <v>102</v>
      </c>
      <c r="J74" s="53">
        <v>70.89</v>
      </c>
      <c r="K74" s="176">
        <v>200000</v>
      </c>
      <c r="L74" s="275"/>
      <c r="M74" s="275"/>
      <c r="N74" s="276"/>
    </row>
    <row r="75" ht="16.5" customHeight="1" spans="2:14">
      <c r="B75" s="271" t="s">
        <v>106</v>
      </c>
      <c r="C75" s="54" t="s">
        <v>107</v>
      </c>
      <c r="D75" s="277"/>
      <c r="E75" s="190"/>
      <c r="F75" s="190"/>
      <c r="G75" s="275">
        <f t="shared" si="17"/>
        <v>2.53</v>
      </c>
      <c r="H75" s="275">
        <f t="shared" si="16"/>
        <v>2.53</v>
      </c>
      <c r="I75" s="175" t="s">
        <v>102</v>
      </c>
      <c r="J75" s="53">
        <v>8.42</v>
      </c>
      <c r="K75" s="176">
        <v>3000</v>
      </c>
      <c r="L75" s="275"/>
      <c r="M75" s="275"/>
      <c r="N75" s="276"/>
    </row>
    <row r="76" ht="16.5" customHeight="1" spans="2:14">
      <c r="B76" s="271">
        <v>1.3</v>
      </c>
      <c r="C76" s="54" t="s">
        <v>108</v>
      </c>
      <c r="D76" s="277"/>
      <c r="E76" s="190"/>
      <c r="F76" s="190"/>
      <c r="G76" s="275">
        <f>SUM(G77:G84)</f>
        <v>4716.35</v>
      </c>
      <c r="H76" s="275">
        <f t="shared" si="16"/>
        <v>4716.35</v>
      </c>
      <c r="I76" s="175"/>
      <c r="J76" s="53"/>
      <c r="K76" s="176"/>
      <c r="L76" s="275"/>
      <c r="M76" s="275"/>
      <c r="N76" s="276"/>
    </row>
    <row r="77" ht="16.5" customHeight="1" spans="2:14">
      <c r="B77" s="271" t="s">
        <v>109</v>
      </c>
      <c r="C77" s="54" t="s">
        <v>110</v>
      </c>
      <c r="D77" s="277"/>
      <c r="E77" s="190"/>
      <c r="F77" s="190"/>
      <c r="G77" s="275">
        <f t="shared" si="17"/>
        <v>3900</v>
      </c>
      <c r="H77" s="275">
        <f t="shared" si="16"/>
        <v>3900</v>
      </c>
      <c r="I77" s="175" t="s">
        <v>111</v>
      </c>
      <c r="J77" s="53">
        <v>3000</v>
      </c>
      <c r="K77" s="176">
        <v>13000</v>
      </c>
      <c r="L77" s="275"/>
      <c r="M77" s="275"/>
      <c r="N77" s="276"/>
    </row>
    <row r="78" ht="16.5" customHeight="1" spans="2:14">
      <c r="B78" s="271" t="s">
        <v>112</v>
      </c>
      <c r="C78" s="54" t="s">
        <v>113</v>
      </c>
      <c r="D78" s="277"/>
      <c r="E78" s="190"/>
      <c r="F78" s="190"/>
      <c r="G78" s="275">
        <f t="shared" si="17"/>
        <v>804.95</v>
      </c>
      <c r="H78" s="275">
        <f t="shared" si="16"/>
        <v>804.95</v>
      </c>
      <c r="I78" s="175" t="s">
        <v>111</v>
      </c>
      <c r="J78" s="53">
        <v>947</v>
      </c>
      <c r="K78" s="176">
        <v>8500</v>
      </c>
      <c r="L78" s="275"/>
      <c r="M78" s="275"/>
      <c r="N78" s="276"/>
    </row>
    <row r="79" ht="16.5" customHeight="1" spans="2:14">
      <c r="B79" s="271" t="s">
        <v>114</v>
      </c>
      <c r="C79" s="54" t="s">
        <v>115</v>
      </c>
      <c r="D79" s="277"/>
      <c r="E79" s="190"/>
      <c r="F79" s="190"/>
      <c r="G79" s="275">
        <f t="shared" si="17"/>
        <v>0</v>
      </c>
      <c r="H79" s="275">
        <f t="shared" si="16"/>
        <v>0</v>
      </c>
      <c r="I79" s="175" t="s">
        <v>116</v>
      </c>
      <c r="J79" s="53">
        <v>0</v>
      </c>
      <c r="K79" s="176">
        <v>80000</v>
      </c>
      <c r="L79" s="275"/>
      <c r="M79" s="275"/>
      <c r="N79" s="276"/>
    </row>
    <row r="80" ht="16.5" customHeight="1" spans="2:14">
      <c r="B80" s="271" t="s">
        <v>117</v>
      </c>
      <c r="C80" s="54" t="s">
        <v>118</v>
      </c>
      <c r="D80" s="277"/>
      <c r="E80" s="190"/>
      <c r="F80" s="190"/>
      <c r="G80" s="275">
        <f t="shared" si="17"/>
        <v>0</v>
      </c>
      <c r="H80" s="275">
        <f t="shared" si="16"/>
        <v>0</v>
      </c>
      <c r="I80" s="175" t="s">
        <v>119</v>
      </c>
      <c r="J80" s="53">
        <v>0</v>
      </c>
      <c r="K80" s="176">
        <v>30000</v>
      </c>
      <c r="L80" s="275"/>
      <c r="M80" s="275"/>
      <c r="N80" s="276"/>
    </row>
    <row r="81" ht="16.5" customHeight="1" spans="2:14">
      <c r="B81" s="271" t="s">
        <v>120</v>
      </c>
      <c r="C81" s="54" t="s">
        <v>121</v>
      </c>
      <c r="D81" s="277"/>
      <c r="E81" s="190"/>
      <c r="F81" s="190"/>
      <c r="G81" s="275">
        <f t="shared" si="17"/>
        <v>4</v>
      </c>
      <c r="H81" s="275">
        <f t="shared" si="16"/>
        <v>4</v>
      </c>
      <c r="I81" s="175" t="s">
        <v>116</v>
      </c>
      <c r="J81" s="53">
        <v>2</v>
      </c>
      <c r="K81" s="176">
        <v>20000</v>
      </c>
      <c r="L81" s="275"/>
      <c r="M81" s="275"/>
      <c r="N81" s="276"/>
    </row>
    <row r="82" ht="16.5" customHeight="1" spans="2:14">
      <c r="B82" s="271" t="s">
        <v>122</v>
      </c>
      <c r="C82" s="54" t="s">
        <v>123</v>
      </c>
      <c r="D82" s="277"/>
      <c r="E82" s="190"/>
      <c r="F82" s="190"/>
      <c r="G82" s="275">
        <f t="shared" si="17"/>
        <v>6</v>
      </c>
      <c r="H82" s="275">
        <f t="shared" si="16"/>
        <v>6</v>
      </c>
      <c r="I82" s="175" t="s">
        <v>34</v>
      </c>
      <c r="J82" s="53">
        <v>400</v>
      </c>
      <c r="K82" s="176">
        <v>150</v>
      </c>
      <c r="L82" s="275"/>
      <c r="M82" s="275"/>
      <c r="N82" s="276"/>
    </row>
    <row r="83" ht="16.5" customHeight="1" spans="2:14">
      <c r="B83" s="271" t="s">
        <v>124</v>
      </c>
      <c r="C83" s="54" t="s">
        <v>125</v>
      </c>
      <c r="D83" s="277"/>
      <c r="E83" s="190"/>
      <c r="F83" s="190"/>
      <c r="G83" s="275">
        <f t="shared" si="17"/>
        <v>1.4</v>
      </c>
      <c r="H83" s="275">
        <f t="shared" si="16"/>
        <v>1.4</v>
      </c>
      <c r="I83" s="175" t="s">
        <v>116</v>
      </c>
      <c r="J83" s="53">
        <v>7</v>
      </c>
      <c r="K83" s="176">
        <v>2000</v>
      </c>
      <c r="L83" s="275"/>
      <c r="M83" s="275"/>
      <c r="N83" s="276"/>
    </row>
    <row r="84" ht="16.5" customHeight="1" spans="2:14">
      <c r="B84" s="271" t="s">
        <v>126</v>
      </c>
      <c r="C84" s="54" t="s">
        <v>127</v>
      </c>
      <c r="D84" s="277"/>
      <c r="E84" s="190"/>
      <c r="F84" s="190"/>
      <c r="G84" s="275">
        <f t="shared" si="17"/>
        <v>0</v>
      </c>
      <c r="H84" s="275">
        <f t="shared" si="16"/>
        <v>0</v>
      </c>
      <c r="I84" s="275"/>
      <c r="J84" s="53">
        <v>0</v>
      </c>
      <c r="K84" s="278">
        <v>500000</v>
      </c>
      <c r="L84" s="275"/>
      <c r="M84" s="275"/>
      <c r="N84" s="276"/>
    </row>
    <row r="85" ht="16.5" customHeight="1" spans="2:14">
      <c r="B85" s="275">
        <v>2</v>
      </c>
      <c r="C85" s="54" t="s">
        <v>128</v>
      </c>
      <c r="D85" s="277" t="s">
        <v>129</v>
      </c>
      <c r="E85" s="190"/>
      <c r="F85" s="190"/>
      <c r="G85" s="275">
        <f>ROUND(H6*3%,2)</f>
        <v>44.43</v>
      </c>
      <c r="H85" s="275">
        <f t="shared" si="16"/>
        <v>44.43</v>
      </c>
      <c r="I85" s="275"/>
      <c r="J85" s="275"/>
      <c r="K85" s="275"/>
      <c r="L85" s="275"/>
      <c r="M85" s="59">
        <f>H85/$H$6</f>
        <v>0.0299977719413143</v>
      </c>
      <c r="N85" s="60"/>
    </row>
    <row r="86" ht="16.5" customHeight="1" spans="2:14">
      <c r="B86" s="275">
        <v>3</v>
      </c>
      <c r="C86" s="54" t="s">
        <v>130</v>
      </c>
      <c r="D86" s="277" t="s">
        <v>131</v>
      </c>
      <c r="E86" s="190"/>
      <c r="F86" s="190"/>
      <c r="G86" s="279">
        <f>ROUND((H6-10000)*(393.4-218.6)/10000+218.6,2)</f>
        <v>69.69</v>
      </c>
      <c r="H86" s="275">
        <f t="shared" si="16"/>
        <v>69.69</v>
      </c>
      <c r="I86" s="275"/>
      <c r="J86" s="275"/>
      <c r="K86" s="275"/>
      <c r="L86" s="275"/>
      <c r="M86" s="59">
        <f t="shared" ref="M86:M101" si="18">H86/$H$6</f>
        <v>0.047052548426518</v>
      </c>
      <c r="N86" s="60"/>
    </row>
    <row r="87" ht="16.5" customHeight="1" spans="2:14">
      <c r="B87" s="275">
        <v>4</v>
      </c>
      <c r="C87" s="54" t="s">
        <v>132</v>
      </c>
      <c r="D87" s="277" t="s">
        <v>133</v>
      </c>
      <c r="E87" s="190"/>
      <c r="F87" s="190"/>
      <c r="G87" s="275">
        <f>ROUND($H$6*(0.32%*2+0.11%),2)</f>
        <v>11.11</v>
      </c>
      <c r="H87" s="275">
        <f t="shared" si="16"/>
        <v>11.11</v>
      </c>
      <c r="I87" s="275"/>
      <c r="J87" s="275"/>
      <c r="K87" s="275"/>
      <c r="L87" s="275"/>
      <c r="M87" s="59">
        <f t="shared" si="18"/>
        <v>0.00750113090857533</v>
      </c>
      <c r="N87" s="60"/>
    </row>
    <row r="88" ht="16.5" customHeight="1" spans="2:14">
      <c r="B88" s="275">
        <v>5</v>
      </c>
      <c r="C88" s="54" t="s">
        <v>134</v>
      </c>
      <c r="D88" s="277" t="s">
        <v>135</v>
      </c>
      <c r="E88" s="190"/>
      <c r="F88" s="190"/>
      <c r="G88" s="279">
        <f>ROUND((H6-10000)*(136-60)/40000+60,2)</f>
        <v>43.81</v>
      </c>
      <c r="H88" s="275">
        <f t="shared" si="16"/>
        <v>43.81</v>
      </c>
      <c r="I88" s="275"/>
      <c r="J88" s="275"/>
      <c r="K88" s="275"/>
      <c r="L88" s="275"/>
      <c r="M88" s="59">
        <f t="shared" si="18"/>
        <v>0.0295791669761193</v>
      </c>
      <c r="N88" s="60"/>
    </row>
    <row r="89" ht="16.5" customHeight="1" spans="2:14">
      <c r="B89" s="275">
        <v>6</v>
      </c>
      <c r="C89" s="54" t="s">
        <v>136</v>
      </c>
      <c r="D89" s="277" t="s">
        <v>137</v>
      </c>
      <c r="E89" s="190"/>
      <c r="F89" s="190"/>
      <c r="G89" s="275">
        <f>ROUND($H$6*1%,2)</f>
        <v>14.81</v>
      </c>
      <c r="H89" s="275">
        <f t="shared" si="16"/>
        <v>14.81</v>
      </c>
      <c r="I89" s="275"/>
      <c r="J89" s="275"/>
      <c r="K89" s="275"/>
      <c r="L89" s="275"/>
      <c r="M89" s="59">
        <f t="shared" si="18"/>
        <v>0.00999925731377143</v>
      </c>
      <c r="N89" s="60"/>
    </row>
    <row r="90" ht="16.5" customHeight="1" spans="2:14">
      <c r="B90" s="275">
        <v>7</v>
      </c>
      <c r="C90" s="54" t="s">
        <v>138</v>
      </c>
      <c r="D90" s="277" t="s">
        <v>139</v>
      </c>
      <c r="E90" s="190"/>
      <c r="F90" s="190"/>
      <c r="G90" s="279">
        <f>ROUND((H6-10000)*(566.8-304.8)/10000+304.8,2)</f>
        <v>81.61</v>
      </c>
      <c r="H90" s="275">
        <f t="shared" si="16"/>
        <v>81.61</v>
      </c>
      <c r="I90" s="275"/>
      <c r="J90" s="275"/>
      <c r="K90" s="275"/>
      <c r="L90" s="275"/>
      <c r="M90" s="59">
        <f t="shared" si="18"/>
        <v>0.0551005664670416</v>
      </c>
      <c r="N90" s="60"/>
    </row>
    <row r="91" ht="16.5" customHeight="1" spans="2:14">
      <c r="B91" s="275">
        <v>8</v>
      </c>
      <c r="C91" s="54" t="s">
        <v>140</v>
      </c>
      <c r="D91" s="277" t="s">
        <v>141</v>
      </c>
      <c r="E91" s="190"/>
      <c r="F91" s="190"/>
      <c r="G91" s="279">
        <f>ROUND((H7-10000)*(18-7.5)/17000+7.5,2)</f>
        <v>2.24</v>
      </c>
      <c r="H91" s="275">
        <f t="shared" si="16"/>
        <v>2.24</v>
      </c>
      <c r="I91" s="275"/>
      <c r="J91" s="275"/>
      <c r="K91" s="275"/>
      <c r="L91" s="275"/>
      <c r="M91" s="59">
        <f t="shared" si="18"/>
        <v>0.00151237922909169</v>
      </c>
      <c r="N91" s="60"/>
    </row>
    <row r="92" ht="16.5" customHeight="1" spans="2:14">
      <c r="B92" s="275">
        <v>9</v>
      </c>
      <c r="C92" s="54" t="s">
        <v>142</v>
      </c>
      <c r="D92" s="277" t="s">
        <v>143</v>
      </c>
      <c r="E92" s="190"/>
      <c r="F92" s="190"/>
      <c r="G92" s="275">
        <f>ROUND((J72+J74+J75)*667*1.5/10000,2)</f>
        <v>11.69</v>
      </c>
      <c r="H92" s="275">
        <f t="shared" si="16"/>
        <v>11.69</v>
      </c>
      <c r="I92" s="275"/>
      <c r="J92" s="275"/>
      <c r="K92" s="275"/>
      <c r="L92" s="275"/>
      <c r="M92" s="59">
        <f t="shared" si="18"/>
        <v>0.00789272910182228</v>
      </c>
      <c r="N92" s="60"/>
    </row>
    <row r="93" ht="16.5" customHeight="1" spans="2:14">
      <c r="B93" s="275">
        <v>10</v>
      </c>
      <c r="C93" s="54" t="s">
        <v>144</v>
      </c>
      <c r="D93" s="277" t="s">
        <v>145</v>
      </c>
      <c r="E93" s="190"/>
      <c r="F93" s="190"/>
      <c r="G93" s="275">
        <f>ROUND($H$6*0.3%,2)</f>
        <v>4.44</v>
      </c>
      <c r="H93" s="275">
        <f t="shared" si="16"/>
        <v>4.44</v>
      </c>
      <c r="I93" s="275"/>
      <c r="J93" s="275"/>
      <c r="K93" s="275"/>
      <c r="L93" s="275"/>
      <c r="M93" s="59">
        <f t="shared" si="18"/>
        <v>0.00299775168623532</v>
      </c>
      <c r="N93" s="60"/>
    </row>
    <row r="94" ht="16.5" customHeight="1" spans="2:14">
      <c r="B94" s="275">
        <v>11</v>
      </c>
      <c r="C94" s="54" t="s">
        <v>146</v>
      </c>
      <c r="D94" s="277" t="s">
        <v>137</v>
      </c>
      <c r="E94" s="190"/>
      <c r="F94" s="190"/>
      <c r="G94" s="275">
        <f t="shared" ref="G94" si="19">ROUND($H$6*1%,2)</f>
        <v>14.81</v>
      </c>
      <c r="H94" s="275">
        <f t="shared" si="16"/>
        <v>14.81</v>
      </c>
      <c r="I94" s="275"/>
      <c r="J94" s="275"/>
      <c r="K94" s="275"/>
      <c r="L94" s="275"/>
      <c r="M94" s="59">
        <f t="shared" si="18"/>
        <v>0.00999925731377143</v>
      </c>
      <c r="N94" s="60"/>
    </row>
    <row r="95" ht="16.5" customHeight="1" spans="2:14">
      <c r="B95" s="275">
        <v>12</v>
      </c>
      <c r="C95" s="54" t="s">
        <v>147</v>
      </c>
      <c r="D95" s="280" t="s">
        <v>148</v>
      </c>
      <c r="E95" s="281"/>
      <c r="F95" s="281"/>
      <c r="G95" s="275">
        <f>ROUND($H$6*0.4%,2)</f>
        <v>5.92</v>
      </c>
      <c r="H95" s="275">
        <f t="shared" si="16"/>
        <v>5.92</v>
      </c>
      <c r="I95" s="275"/>
      <c r="J95" s="275"/>
      <c r="K95" s="275"/>
      <c r="L95" s="275"/>
      <c r="M95" s="59">
        <f t="shared" si="18"/>
        <v>0.00399700224831376</v>
      </c>
      <c r="N95" s="60"/>
    </row>
    <row r="96" ht="16.5" customHeight="1" spans="2:14">
      <c r="B96" s="275">
        <v>13</v>
      </c>
      <c r="C96" s="54" t="s">
        <v>149</v>
      </c>
      <c r="D96" s="277" t="s">
        <v>150</v>
      </c>
      <c r="E96" s="190"/>
      <c r="F96" s="190"/>
      <c r="G96" s="275">
        <v>42.87</v>
      </c>
      <c r="H96" s="275">
        <f t="shared" si="16"/>
        <v>42.87</v>
      </c>
      <c r="I96" s="275"/>
      <c r="J96" s="275"/>
      <c r="K96" s="275"/>
      <c r="L96" s="275"/>
      <c r="M96" s="59">
        <f t="shared" si="18"/>
        <v>0.0289445078353397</v>
      </c>
      <c r="N96" s="60"/>
    </row>
    <row r="97" ht="16.5" customHeight="1" spans="2:14">
      <c r="B97" s="275">
        <v>14</v>
      </c>
      <c r="C97" s="54" t="s">
        <v>151</v>
      </c>
      <c r="D97" s="277" t="s">
        <v>152</v>
      </c>
      <c r="E97" s="190"/>
      <c r="F97" s="190"/>
      <c r="G97" s="279">
        <f>ROUND(100*1%+400*0.7%+500*0.55%+4000*0.35%+5000*0.2%+(H6-10000)*0.05%,2)</f>
        <v>26.29</v>
      </c>
      <c r="H97" s="275">
        <f t="shared" si="16"/>
        <v>26.29</v>
      </c>
      <c r="I97" s="275"/>
      <c r="J97" s="275"/>
      <c r="K97" s="275"/>
      <c r="L97" s="275"/>
      <c r="M97" s="59">
        <f t="shared" si="18"/>
        <v>0.0177502008628664</v>
      </c>
      <c r="N97" s="60"/>
    </row>
    <row r="98" ht="16.5" customHeight="1" spans="2:14">
      <c r="B98" s="275">
        <v>15</v>
      </c>
      <c r="C98" s="54" t="s">
        <v>153</v>
      </c>
      <c r="D98" s="277" t="s">
        <v>154</v>
      </c>
      <c r="E98" s="190"/>
      <c r="F98" s="190"/>
      <c r="G98" s="279">
        <f>ROUND(H89*0.035+100*0.17%+400*0.14%+500*0.11%+4000*0.08%+5000*0.06%+(H6-10000)*0.03%,2)</f>
        <v>5.44</v>
      </c>
      <c r="H98" s="275">
        <f t="shared" si="16"/>
        <v>5.44</v>
      </c>
      <c r="I98" s="275"/>
      <c r="J98" s="275"/>
      <c r="K98" s="275"/>
      <c r="L98" s="275"/>
      <c r="M98" s="59">
        <f t="shared" si="18"/>
        <v>0.00367292098493697</v>
      </c>
      <c r="N98" s="60"/>
    </row>
    <row r="99" ht="16.5" customHeight="1" spans="2:14">
      <c r="B99" s="275">
        <v>16</v>
      </c>
      <c r="C99" s="54" t="s">
        <v>155</v>
      </c>
      <c r="D99" s="277" t="s">
        <v>156</v>
      </c>
      <c r="E99" s="190"/>
      <c r="F99" s="190"/>
      <c r="G99" s="275">
        <f>ROUND((J72+J74+J75)*667*0.67/10000,2)</f>
        <v>5.22</v>
      </c>
      <c r="H99" s="275">
        <f t="shared" si="16"/>
        <v>5.22</v>
      </c>
      <c r="I99" s="275"/>
      <c r="J99" s="275"/>
      <c r="K99" s="275"/>
      <c r="L99" s="275"/>
      <c r="M99" s="59">
        <f t="shared" si="18"/>
        <v>0.00352438373922261</v>
      </c>
      <c r="N99" s="60"/>
    </row>
    <row r="100" ht="16.5" customHeight="1" spans="2:14">
      <c r="B100" s="275">
        <v>17</v>
      </c>
      <c r="C100" s="54" t="s">
        <v>157</v>
      </c>
      <c r="D100" s="277" t="s">
        <v>158</v>
      </c>
      <c r="E100" s="190"/>
      <c r="F100" s="190"/>
      <c r="G100" s="275">
        <v>150</v>
      </c>
      <c r="H100" s="275">
        <f t="shared" si="16"/>
        <v>150</v>
      </c>
      <c r="I100" s="275"/>
      <c r="J100" s="275"/>
      <c r="K100" s="275"/>
      <c r="L100" s="275"/>
      <c r="M100" s="59">
        <f t="shared" si="18"/>
        <v>0.101275394805247</v>
      </c>
      <c r="N100" s="60"/>
    </row>
    <row r="101" s="86" customFormat="1" ht="16.5" customHeight="1" spans="2:14">
      <c r="B101" s="275">
        <v>18</v>
      </c>
      <c r="C101" s="54" t="s">
        <v>159</v>
      </c>
      <c r="D101" s="277" t="s">
        <v>160</v>
      </c>
      <c r="E101" s="282"/>
      <c r="F101" s="283"/>
      <c r="G101" s="275">
        <v>15</v>
      </c>
      <c r="H101" s="275">
        <f t="shared" si="16"/>
        <v>15</v>
      </c>
      <c r="I101" s="275"/>
      <c r="J101" s="275"/>
      <c r="K101" s="275"/>
      <c r="L101" s="275"/>
      <c r="M101" s="59">
        <f t="shared" si="18"/>
        <v>0.0101275394805247</v>
      </c>
      <c r="N101" s="60"/>
    </row>
    <row r="102" ht="18" customHeight="1" spans="2:14">
      <c r="B102" s="63" t="s">
        <v>161</v>
      </c>
      <c r="C102" s="64" t="s">
        <v>162</v>
      </c>
      <c r="D102" s="284"/>
      <c r="E102" s="285"/>
      <c r="F102" s="285"/>
      <c r="G102" s="65">
        <f>SUM(G103:G104)</f>
        <v>413.98</v>
      </c>
      <c r="H102" s="65">
        <f t="shared" si="16"/>
        <v>413.98</v>
      </c>
      <c r="I102" s="63"/>
      <c r="J102" s="63"/>
      <c r="K102" s="63"/>
      <c r="L102" s="221">
        <f>H102/H109</f>
        <v>0.0476186641974315</v>
      </c>
      <c r="M102" s="63"/>
      <c r="N102" s="286"/>
    </row>
    <row r="103" ht="18" customHeight="1" spans="2:14">
      <c r="B103" s="68">
        <v>1</v>
      </c>
      <c r="C103" s="69" t="s">
        <v>163</v>
      </c>
      <c r="D103" s="287" t="s">
        <v>164</v>
      </c>
      <c r="E103" s="288"/>
      <c r="F103" s="288"/>
      <c r="G103" s="70">
        <f>ROUND((H6+H70)*5%,2)</f>
        <v>413.98</v>
      </c>
      <c r="H103" s="70">
        <f t="shared" si="16"/>
        <v>413.98</v>
      </c>
      <c r="I103" s="68"/>
      <c r="J103" s="68"/>
      <c r="K103" s="68"/>
      <c r="L103" s="289"/>
      <c r="M103" s="71">
        <v>0.05</v>
      </c>
      <c r="N103" s="72"/>
    </row>
    <row r="104" ht="18" customHeight="1" spans="2:14">
      <c r="B104" s="68">
        <v>2</v>
      </c>
      <c r="C104" s="69" t="s">
        <v>165</v>
      </c>
      <c r="D104" s="70"/>
      <c r="E104" s="70"/>
      <c r="F104" s="70"/>
      <c r="G104" s="70"/>
      <c r="H104" s="70"/>
      <c r="I104" s="68"/>
      <c r="J104" s="68"/>
      <c r="K104" s="68"/>
      <c r="L104" s="289"/>
      <c r="M104" s="68"/>
      <c r="N104" s="73"/>
    </row>
    <row r="105" ht="18" customHeight="1" spans="2:14">
      <c r="B105" s="63" t="s">
        <v>166</v>
      </c>
      <c r="C105" s="64" t="s">
        <v>167</v>
      </c>
      <c r="D105" s="65">
        <f>D6</f>
        <v>1481.11</v>
      </c>
      <c r="E105" s="65">
        <f>E6</f>
        <v>0</v>
      </c>
      <c r="F105" s="65">
        <f>F6</f>
        <v>0</v>
      </c>
      <c r="G105" s="65">
        <f>G70+G102</f>
        <v>7212.54</v>
      </c>
      <c r="H105" s="65">
        <f>H6+H70+H102</f>
        <v>8693.65</v>
      </c>
      <c r="I105" s="74" t="str">
        <f>I70</f>
        <v>km</v>
      </c>
      <c r="J105" s="63">
        <f>J70</f>
        <v>0.45</v>
      </c>
      <c r="K105" s="220">
        <f>H105/J105*10000</f>
        <v>193192222.222222</v>
      </c>
      <c r="L105" s="221">
        <v>98.3898645084136</v>
      </c>
      <c r="M105" s="63"/>
      <c r="N105" s="286"/>
    </row>
    <row r="106" ht="18" customHeight="1" spans="2:14">
      <c r="B106" s="63" t="s">
        <v>168</v>
      </c>
      <c r="C106" s="64" t="s">
        <v>169</v>
      </c>
      <c r="D106" s="65"/>
      <c r="E106" s="65"/>
      <c r="F106" s="65"/>
      <c r="G106" s="65"/>
      <c r="H106" s="65"/>
      <c r="I106" s="63"/>
      <c r="J106" s="63"/>
      <c r="K106" s="63"/>
      <c r="L106" s="221">
        <v>1.37745810311779</v>
      </c>
      <c r="M106" s="63"/>
      <c r="N106" s="286"/>
    </row>
    <row r="107" ht="18" customHeight="1" spans="2:14">
      <c r="B107" s="63" t="s">
        <v>170</v>
      </c>
      <c r="C107" s="64" t="s">
        <v>171</v>
      </c>
      <c r="D107" s="65"/>
      <c r="E107" s="65"/>
      <c r="F107" s="65"/>
      <c r="G107" s="65"/>
      <c r="H107" s="65"/>
      <c r="I107" s="63"/>
      <c r="J107" s="63"/>
      <c r="K107" s="63"/>
      <c r="L107" s="221"/>
      <c r="M107" s="63"/>
      <c r="N107" s="286"/>
    </row>
    <row r="108" ht="18" customHeight="1" spans="2:14">
      <c r="B108" s="63" t="s">
        <v>172</v>
      </c>
      <c r="C108" s="64" t="s">
        <v>173</v>
      </c>
      <c r="D108" s="65"/>
      <c r="E108" s="65"/>
      <c r="F108" s="65"/>
      <c r="G108" s="65"/>
      <c r="H108" s="65"/>
      <c r="I108" s="63"/>
      <c r="J108" s="63"/>
      <c r="K108" s="63"/>
      <c r="L108" s="221">
        <v>0.23267738846861</v>
      </c>
      <c r="M108" s="63"/>
      <c r="N108" s="286"/>
    </row>
    <row r="109" ht="18" customHeight="1" spans="2:14">
      <c r="B109" s="63" t="s">
        <v>174</v>
      </c>
      <c r="C109" s="64" t="s">
        <v>175</v>
      </c>
      <c r="D109" s="65">
        <f>D105+D106+D107+D108</f>
        <v>1481.11</v>
      </c>
      <c r="E109" s="65">
        <f t="shared" ref="E109:H109" si="20">E105+E106+E107+E108</f>
        <v>0</v>
      </c>
      <c r="F109" s="65">
        <f t="shared" si="20"/>
        <v>0</v>
      </c>
      <c r="G109" s="65">
        <f t="shared" si="20"/>
        <v>7212.54</v>
      </c>
      <c r="H109" s="65">
        <f t="shared" si="20"/>
        <v>8693.65</v>
      </c>
      <c r="I109" s="74" t="str">
        <f>I70</f>
        <v>km</v>
      </c>
      <c r="J109" s="63">
        <f>J70</f>
        <v>0.45</v>
      </c>
      <c r="K109" s="220">
        <f>H109/J109*10000</f>
        <v>193192222.222222</v>
      </c>
      <c r="L109" s="221">
        <v>100</v>
      </c>
      <c r="M109" s="63"/>
      <c r="N109" s="286"/>
    </row>
    <row r="112" spans="2:14">
      <c r="B112" s="290"/>
    </row>
  </sheetData>
  <mergeCells count="41">
    <mergeCell ref="B3:M3"/>
    <mergeCell ref="D4:H4"/>
    <mergeCell ref="I4:K4"/>
    <mergeCell ref="D70:F70"/>
    <mergeCell ref="D71:F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D97:F97"/>
    <mergeCell ref="D98:F98"/>
    <mergeCell ref="D99:F99"/>
    <mergeCell ref="D100:F100"/>
    <mergeCell ref="D101:F101"/>
    <mergeCell ref="D102:F102"/>
    <mergeCell ref="D103:F103"/>
    <mergeCell ref="B4:B5"/>
    <mergeCell ref="C4:C5"/>
    <mergeCell ref="L4:L5"/>
    <mergeCell ref="M4:M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Y472"/>
  <sheetViews>
    <sheetView view="pageBreakPreview" zoomScaleNormal="115" topLeftCell="B1" workbookViewId="0">
      <pane xSplit="1" ySplit="3" topLeftCell="C33" activePane="bottomRight" state="frozenSplit"/>
      <selection/>
      <selection pane="topRight"/>
      <selection pane="bottomLeft"/>
      <selection pane="bottomRight" activeCell="K204" sqref="K204"/>
    </sheetView>
  </sheetViews>
  <sheetFormatPr defaultColWidth="9" defaultRowHeight="13.5"/>
  <cols>
    <col min="1" max="1" width="9" style="2" hidden="1" customWidth="1"/>
    <col min="2" max="2" width="6.5" style="2" customWidth="1"/>
    <col min="3" max="3" width="34.5" style="2" customWidth="1"/>
    <col min="4" max="8" width="10" style="2" customWidth="1"/>
    <col min="9" max="9" width="7.25" style="2" customWidth="1"/>
    <col min="10" max="10" width="10" style="2" customWidth="1"/>
    <col min="11" max="11" width="10.3833333333333" style="2" customWidth="1"/>
    <col min="12" max="12" width="8.25" style="3" customWidth="1"/>
    <col min="13" max="13" width="8.38333333333333" style="2" customWidth="1"/>
    <col min="14" max="15" width="8.38333333333333" style="2" hidden="1" customWidth="1"/>
    <col min="16" max="17" width="8.5" style="4" customWidth="1"/>
    <col min="18" max="18" width="8.5" style="5" customWidth="1"/>
    <col min="19" max="21" width="8.5" style="4" customWidth="1"/>
    <col min="22" max="22" width="8.5" style="6" customWidth="1"/>
    <col min="23" max="23" width="7.25" style="7" customWidth="1"/>
    <col min="24" max="24" width="9.38333333333333" style="6" customWidth="1"/>
    <col min="25" max="25" width="9.5" style="6" customWidth="1"/>
    <col min="26" max="26" width="10.5" style="2" customWidth="1"/>
    <col min="27" max="27" width="9" style="2"/>
    <col min="28" max="28" width="13.6333333333333" style="2" customWidth="1"/>
    <col min="29" max="16384" width="9" style="2"/>
  </cols>
  <sheetData>
    <row r="1" ht="20.1" customHeight="1" spans="2:25">
      <c r="B1" s="8" t="s">
        <v>176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10"/>
      <c r="P1" s="11" t="s">
        <v>177</v>
      </c>
      <c r="Q1" s="11" t="s">
        <v>178</v>
      </c>
      <c r="R1" s="11" t="s">
        <v>179</v>
      </c>
      <c r="S1" s="11" t="s">
        <v>180</v>
      </c>
      <c r="T1" s="11" t="s">
        <v>181</v>
      </c>
      <c r="U1" s="11"/>
      <c r="V1" s="12"/>
      <c r="W1" s="13"/>
    </row>
    <row r="2" ht="21.75" customHeight="1" spans="2:25">
      <c r="B2" s="88" t="s">
        <v>182</v>
      </c>
      <c r="C2" s="89" t="s">
        <v>183</v>
      </c>
      <c r="D2" s="89" t="s">
        <v>184</v>
      </c>
      <c r="E2" s="90"/>
      <c r="F2" s="90"/>
      <c r="G2" s="90"/>
      <c r="H2" s="90"/>
      <c r="I2" s="89" t="s">
        <v>185</v>
      </c>
      <c r="J2" s="90"/>
      <c r="K2" s="90"/>
      <c r="L2" s="91" t="s">
        <v>186</v>
      </c>
      <c r="M2" s="92" t="s">
        <v>6</v>
      </c>
      <c r="N2" s="19"/>
      <c r="O2" s="19"/>
      <c r="P2" s="20">
        <v>1.6</v>
      </c>
      <c r="Q2" s="20">
        <v>0.785</v>
      </c>
      <c r="R2" s="20">
        <v>1.3</v>
      </c>
      <c r="S2" s="20">
        <v>0.715</v>
      </c>
      <c r="T2" s="20">
        <v>0.375</v>
      </c>
      <c r="U2" s="20"/>
      <c r="W2" s="2"/>
    </row>
    <row r="3" ht="34.5" customHeight="1" spans="2:25">
      <c r="B3" s="93"/>
      <c r="C3" s="17"/>
      <c r="D3" s="16" t="s">
        <v>187</v>
      </c>
      <c r="E3" s="16" t="s">
        <v>188</v>
      </c>
      <c r="F3" s="21" t="s">
        <v>189</v>
      </c>
      <c r="G3" s="22" t="s">
        <v>190</v>
      </c>
      <c r="H3" s="22" t="s">
        <v>191</v>
      </c>
      <c r="I3" s="16" t="s">
        <v>192</v>
      </c>
      <c r="J3" s="16" t="s">
        <v>193</v>
      </c>
      <c r="K3" s="21" t="s">
        <v>194</v>
      </c>
      <c r="L3" s="23"/>
      <c r="M3" s="94"/>
      <c r="N3" s="24"/>
      <c r="O3" s="24"/>
      <c r="P3" s="95">
        <f>H6</f>
        <v>7334.91</v>
      </c>
      <c r="Q3" s="20">
        <f>H88</f>
        <v>3817.77</v>
      </c>
      <c r="R3" s="20">
        <f>H172</f>
        <v>4877.08</v>
      </c>
      <c r="S3" s="20">
        <f>H258</f>
        <v>4043.03</v>
      </c>
      <c r="T3" s="20">
        <f>H333</f>
        <v>1223.99</v>
      </c>
      <c r="U3" s="20"/>
      <c r="W3" s="2"/>
    </row>
    <row r="4" s="1" customFormat="1" ht="18.75" hidden="1" customHeight="1" spans="2:25">
      <c r="B4" s="96" t="s">
        <v>15</v>
      </c>
      <c r="C4" s="26" t="s">
        <v>16</v>
      </c>
      <c r="D4" s="27">
        <f t="shared" ref="D4:H4" si="0">D5</f>
        <v>21296.78</v>
      </c>
      <c r="E4" s="27">
        <f t="shared" si="0"/>
        <v>0</v>
      </c>
      <c r="F4" s="27">
        <f t="shared" si="0"/>
        <v>0</v>
      </c>
      <c r="G4" s="27">
        <f t="shared" si="0"/>
        <v>0</v>
      </c>
      <c r="H4" s="27">
        <f t="shared" si="0"/>
        <v>21296.78</v>
      </c>
      <c r="I4" s="28" t="s">
        <v>17</v>
      </c>
      <c r="J4" s="27">
        <f>SUM(P2:U2)</f>
        <v>4.775</v>
      </c>
      <c r="K4" s="29">
        <f t="shared" ref="K4:K7" si="1">H4/J4*10000</f>
        <v>44600586.3874346</v>
      </c>
      <c r="L4" s="30">
        <f>H4/H453</f>
        <v>0.820918141341496</v>
      </c>
      <c r="M4" s="97"/>
      <c r="N4" s="32"/>
      <c r="O4" s="33"/>
      <c r="P4" s="20"/>
      <c r="Q4" s="20"/>
      <c r="R4" s="20"/>
      <c r="S4" s="20"/>
      <c r="T4" s="20"/>
      <c r="U4" s="20"/>
      <c r="V4" s="34"/>
      <c r="W4" s="2"/>
      <c r="X4" s="34"/>
      <c r="Y4" s="34"/>
    </row>
    <row r="5" s="1" customFormat="1" ht="15" hidden="1" customHeight="1" spans="2:25">
      <c r="B5" s="96" t="s">
        <v>195</v>
      </c>
      <c r="C5" s="26" t="s">
        <v>196</v>
      </c>
      <c r="D5" s="27">
        <f t="shared" ref="D5:H5" si="2">D6+D88+D172+D258+D333</f>
        <v>21296.78</v>
      </c>
      <c r="E5" s="27">
        <f t="shared" si="2"/>
        <v>0</v>
      </c>
      <c r="F5" s="27">
        <f t="shared" si="2"/>
        <v>0</v>
      </c>
      <c r="G5" s="27">
        <f t="shared" si="2"/>
        <v>0</v>
      </c>
      <c r="H5" s="27">
        <f t="shared" si="2"/>
        <v>21296.78</v>
      </c>
      <c r="I5" s="28" t="s">
        <v>17</v>
      </c>
      <c r="J5" s="27">
        <f>SUM(P2:U2)</f>
        <v>4.775</v>
      </c>
      <c r="K5" s="29"/>
      <c r="L5" s="30"/>
      <c r="M5" s="97"/>
      <c r="N5" s="32"/>
      <c r="O5" s="32"/>
      <c r="P5" s="20"/>
      <c r="Q5" s="20"/>
      <c r="R5" s="20"/>
      <c r="S5" s="20"/>
      <c r="T5" s="20"/>
      <c r="U5" s="20"/>
      <c r="V5" s="34"/>
      <c r="W5" s="2"/>
      <c r="X5" s="34"/>
      <c r="Y5" s="34"/>
    </row>
    <row r="6" s="1" customFormat="1" ht="15" hidden="1" customHeight="1" spans="2:25">
      <c r="B6" s="96">
        <v>1.1</v>
      </c>
      <c r="C6" s="26" t="s">
        <v>177</v>
      </c>
      <c r="D6" s="27">
        <f t="shared" ref="D6:H6" si="3">D7+D10+D32+D42+D47+D76+D86+D53+D60+D65</f>
        <v>7334.91</v>
      </c>
      <c r="E6" s="27">
        <f t="shared" si="3"/>
        <v>0</v>
      </c>
      <c r="F6" s="27">
        <f t="shared" si="3"/>
        <v>0</v>
      </c>
      <c r="G6" s="27">
        <f t="shared" si="3"/>
        <v>0</v>
      </c>
      <c r="H6" s="27">
        <f t="shared" si="3"/>
        <v>7334.91</v>
      </c>
      <c r="I6" s="28" t="s">
        <v>17</v>
      </c>
      <c r="J6" s="27">
        <f>P2</f>
        <v>1.6</v>
      </c>
      <c r="K6" s="29">
        <f t="shared" si="1"/>
        <v>45843187.5</v>
      </c>
      <c r="L6" s="30"/>
      <c r="M6" s="97"/>
      <c r="N6" s="32"/>
      <c r="O6" s="32"/>
      <c r="P6" s="20"/>
      <c r="Q6" s="20"/>
      <c r="R6" s="20"/>
      <c r="S6" s="20"/>
      <c r="T6" s="20"/>
      <c r="U6" s="20"/>
      <c r="V6" s="34"/>
      <c r="W6" s="2"/>
      <c r="X6" s="34"/>
      <c r="Y6" s="34"/>
    </row>
    <row r="7" s="1" customFormat="1" ht="15" hidden="1" customHeight="1" spans="2:25">
      <c r="B7" s="96" t="s">
        <v>19</v>
      </c>
      <c r="C7" s="26" t="s">
        <v>20</v>
      </c>
      <c r="D7" s="27">
        <f>SUM(D8:D9)</f>
        <v>46.02</v>
      </c>
      <c r="E7" s="27"/>
      <c r="F7" s="27"/>
      <c r="G7" s="27"/>
      <c r="H7" s="27">
        <f>SUM(H8:H9)</f>
        <v>46.02</v>
      </c>
      <c r="I7" s="28" t="s">
        <v>17</v>
      </c>
      <c r="J7" s="27">
        <f>J6</f>
        <v>1.6</v>
      </c>
      <c r="K7" s="29">
        <f t="shared" si="1"/>
        <v>287625</v>
      </c>
      <c r="L7" s="98"/>
      <c r="M7" s="97"/>
      <c r="N7" s="32"/>
      <c r="O7" s="32"/>
      <c r="P7" s="20"/>
      <c r="Q7" s="20"/>
      <c r="R7" s="20"/>
      <c r="S7" s="20"/>
      <c r="T7" s="20"/>
      <c r="U7" s="20"/>
      <c r="V7" s="20"/>
      <c r="W7" s="2"/>
      <c r="X7" s="34"/>
      <c r="Y7" s="34"/>
    </row>
    <row r="8" ht="15" hidden="1" customHeight="1" spans="2:25">
      <c r="B8" s="99">
        <v>1</v>
      </c>
      <c r="C8" s="100" t="s">
        <v>197</v>
      </c>
      <c r="D8" s="101">
        <f t="shared" ref="D8:D31" si="4">ROUND(J8*K8/10000,2)</f>
        <v>44.02</v>
      </c>
      <c r="E8" s="35"/>
      <c r="F8" s="35"/>
      <c r="G8" s="102"/>
      <c r="H8" s="102">
        <f t="shared" ref="H8:H31" si="5">SUM(D8:G8)</f>
        <v>44.02</v>
      </c>
      <c r="I8" s="103" t="s">
        <v>22</v>
      </c>
      <c r="J8" s="35">
        <f>9804*0.3+38396*0.19</f>
        <v>10236.44</v>
      </c>
      <c r="K8" s="101">
        <v>43</v>
      </c>
      <c r="L8" s="104"/>
      <c r="M8" s="105"/>
      <c r="N8" s="33">
        <f t="shared" ref="N8:N23" si="6">K8/1.05*1.03</f>
        <v>42.1809523809524</v>
      </c>
      <c r="O8" s="106">
        <v>14.05</v>
      </c>
      <c r="P8" s="20"/>
      <c r="Q8" s="20"/>
      <c r="R8" s="20"/>
      <c r="S8" s="20"/>
      <c r="T8" s="20"/>
      <c r="U8" s="20"/>
      <c r="W8" s="2"/>
    </row>
    <row r="9" ht="15" hidden="1" customHeight="1" spans="2:25">
      <c r="B9" s="99">
        <v>2</v>
      </c>
      <c r="C9" s="100" t="s">
        <v>198</v>
      </c>
      <c r="D9" s="101">
        <f t="shared" si="4"/>
        <v>2</v>
      </c>
      <c r="E9" s="21"/>
      <c r="F9" s="21"/>
      <c r="G9" s="103"/>
      <c r="H9" s="102">
        <f t="shared" si="5"/>
        <v>2</v>
      </c>
      <c r="I9" s="103" t="s">
        <v>27</v>
      </c>
      <c r="J9" s="35">
        <v>20020</v>
      </c>
      <c r="K9" s="101">
        <v>1</v>
      </c>
      <c r="L9" s="18"/>
      <c r="M9" s="105"/>
      <c r="N9" s="33">
        <f t="shared" si="6"/>
        <v>0.980952380952381</v>
      </c>
      <c r="O9" s="106">
        <v>14.67</v>
      </c>
      <c r="P9" s="20"/>
      <c r="Q9" s="20"/>
      <c r="R9" s="20"/>
      <c r="S9" s="20"/>
      <c r="T9" s="20"/>
      <c r="U9" s="20"/>
      <c r="W9" s="2"/>
    </row>
    <row r="10" s="1" customFormat="1" ht="15" hidden="1" customHeight="1" spans="2:25">
      <c r="B10" s="96" t="s">
        <v>39</v>
      </c>
      <c r="C10" s="26" t="s">
        <v>40</v>
      </c>
      <c r="D10" s="27">
        <f>SUM(D11:D31)</f>
        <v>2616.32</v>
      </c>
      <c r="E10" s="27"/>
      <c r="F10" s="27"/>
      <c r="G10" s="27"/>
      <c r="H10" s="27">
        <f>SUM(H11:H31)</f>
        <v>2616.32</v>
      </c>
      <c r="I10" s="28" t="s">
        <v>27</v>
      </c>
      <c r="J10" s="27">
        <f>J16+J26</f>
        <v>45972</v>
      </c>
      <c r="K10" s="29">
        <f>H10*10000/J10</f>
        <v>569.111633168015</v>
      </c>
      <c r="L10" s="107"/>
      <c r="M10" s="97"/>
      <c r="N10" s="32"/>
      <c r="O10" s="32"/>
      <c r="P10" s="20"/>
      <c r="Q10" s="20"/>
      <c r="R10" s="20"/>
      <c r="S10" s="20"/>
      <c r="T10" s="20"/>
      <c r="U10" s="20"/>
      <c r="V10" s="34"/>
      <c r="W10" s="2"/>
      <c r="X10" s="34"/>
      <c r="Y10" s="34"/>
    </row>
    <row r="11" s="83" customFormat="1" ht="15" hidden="1" customHeight="1" spans="2:25">
      <c r="B11" s="108">
        <v>1</v>
      </c>
      <c r="C11" s="109" t="s">
        <v>199</v>
      </c>
      <c r="D11" s="110">
        <f t="shared" si="4"/>
        <v>224.24</v>
      </c>
      <c r="E11" s="111"/>
      <c r="F11" s="111"/>
      <c r="G11" s="112"/>
      <c r="H11" s="113">
        <f t="shared" si="5"/>
        <v>224.24</v>
      </c>
      <c r="I11" s="112" t="s">
        <v>27</v>
      </c>
      <c r="J11" s="114">
        <v>36168</v>
      </c>
      <c r="K11" s="110">
        <v>62</v>
      </c>
      <c r="L11" s="115"/>
      <c r="M11" s="116"/>
      <c r="N11" s="117">
        <f t="shared" si="6"/>
        <v>60.8190476190476</v>
      </c>
      <c r="O11" s="118">
        <v>47.411</v>
      </c>
      <c r="P11" s="119">
        <f>J11*0.62</f>
        <v>22424.16</v>
      </c>
      <c r="Q11" s="119"/>
      <c r="R11" s="119"/>
      <c r="S11" s="119"/>
      <c r="T11" s="119"/>
      <c r="U11" s="119"/>
      <c r="V11" s="120"/>
      <c r="X11" s="120"/>
      <c r="Y11" s="120"/>
    </row>
    <row r="12" s="83" customFormat="1" ht="15" hidden="1" customHeight="1" spans="2:25">
      <c r="B12" s="121">
        <f t="shared" ref="B12:B31" si="7">B11+1</f>
        <v>2</v>
      </c>
      <c r="C12" s="122" t="s">
        <v>200</v>
      </c>
      <c r="D12" s="110">
        <f t="shared" si="4"/>
        <v>29.41</v>
      </c>
      <c r="E12" s="123"/>
      <c r="F12" s="123"/>
      <c r="G12" s="124"/>
      <c r="H12" s="113">
        <f t="shared" si="5"/>
        <v>29.41</v>
      </c>
      <c r="I12" s="125" t="s">
        <v>27</v>
      </c>
      <c r="J12" s="114">
        <v>9804</v>
      </c>
      <c r="K12" s="110">
        <v>30</v>
      </c>
      <c r="L12" s="126"/>
      <c r="M12" s="116"/>
      <c r="N12" s="117">
        <f t="shared" si="6"/>
        <v>29.4285714285714</v>
      </c>
      <c r="O12" s="118">
        <v>83.38</v>
      </c>
      <c r="P12" s="119">
        <f>J12*0.36</f>
        <v>3529.44</v>
      </c>
      <c r="Q12" s="119"/>
      <c r="R12" s="119"/>
      <c r="S12" s="119"/>
      <c r="T12" s="119"/>
      <c r="U12" s="119"/>
      <c r="V12" s="120"/>
      <c r="X12" s="120"/>
      <c r="Y12" s="120"/>
    </row>
    <row r="13" ht="15" customHeight="1" spans="2:25">
      <c r="B13" s="127">
        <f t="shared" si="7"/>
        <v>3</v>
      </c>
      <c r="C13" s="128" t="s">
        <v>201</v>
      </c>
      <c r="D13" s="101">
        <f t="shared" si="4"/>
        <v>4.48</v>
      </c>
      <c r="E13" s="129"/>
      <c r="F13" s="129"/>
      <c r="G13" s="130"/>
      <c r="H13" s="102">
        <f t="shared" si="5"/>
        <v>4.48</v>
      </c>
      <c r="I13" s="131" t="s">
        <v>34</v>
      </c>
      <c r="J13" s="35">
        <v>3448</v>
      </c>
      <c r="K13" s="101">
        <v>13</v>
      </c>
      <c r="L13" s="132"/>
      <c r="M13" s="105"/>
      <c r="N13" s="33">
        <f t="shared" si="6"/>
        <v>12.752380952381</v>
      </c>
      <c r="O13" s="133">
        <v>78.762</v>
      </c>
      <c r="P13" s="20"/>
      <c r="Q13" s="20"/>
      <c r="R13" s="20"/>
      <c r="S13" s="20"/>
      <c r="T13" s="20"/>
      <c r="U13" s="20"/>
      <c r="W13" s="2"/>
    </row>
    <row r="14" ht="15" customHeight="1" spans="2:25">
      <c r="B14" s="127">
        <f t="shared" si="7"/>
        <v>4</v>
      </c>
      <c r="C14" s="128" t="s">
        <v>202</v>
      </c>
      <c r="D14" s="101">
        <f t="shared" si="4"/>
        <v>2.7</v>
      </c>
      <c r="E14" s="129"/>
      <c r="F14" s="129"/>
      <c r="G14" s="130"/>
      <c r="H14" s="102">
        <f t="shared" si="5"/>
        <v>2.7</v>
      </c>
      <c r="I14" s="131" t="s">
        <v>34</v>
      </c>
      <c r="J14" s="35">
        <v>3377</v>
      </c>
      <c r="K14" s="101">
        <v>8</v>
      </c>
      <c r="L14" s="132"/>
      <c r="M14" s="105"/>
      <c r="N14" s="33">
        <f t="shared" si="6"/>
        <v>7.84761904761905</v>
      </c>
      <c r="O14" s="133">
        <v>3.434</v>
      </c>
      <c r="P14" s="20"/>
      <c r="Q14" s="20"/>
      <c r="R14" s="20"/>
      <c r="S14" s="20"/>
      <c r="T14" s="20"/>
      <c r="U14" s="20"/>
      <c r="W14" s="2"/>
    </row>
    <row r="15" ht="15" customHeight="1" spans="2:25">
      <c r="B15" s="127">
        <f t="shared" si="7"/>
        <v>5</v>
      </c>
      <c r="C15" s="128" t="s">
        <v>203</v>
      </c>
      <c r="D15" s="101">
        <f t="shared" si="4"/>
        <v>72.68</v>
      </c>
      <c r="E15" s="129"/>
      <c r="F15" s="129"/>
      <c r="G15" s="130"/>
      <c r="H15" s="102">
        <f t="shared" si="5"/>
        <v>72.68</v>
      </c>
      <c r="I15" s="131" t="s">
        <v>34</v>
      </c>
      <c r="J15" s="35">
        <v>3160</v>
      </c>
      <c r="K15" s="101">
        <v>230</v>
      </c>
      <c r="L15" s="132"/>
      <c r="M15" s="105"/>
      <c r="N15" s="33">
        <f t="shared" si="6"/>
        <v>225.619047619048</v>
      </c>
      <c r="O15" s="133">
        <v>21.646</v>
      </c>
      <c r="P15" s="20"/>
      <c r="Q15" s="20"/>
      <c r="R15" s="20"/>
      <c r="S15" s="20"/>
      <c r="T15" s="20"/>
      <c r="U15" s="20"/>
      <c r="W15" s="2"/>
    </row>
    <row r="16" ht="15" hidden="1" customHeight="1" spans="2:25">
      <c r="B16" s="127">
        <f t="shared" si="7"/>
        <v>6</v>
      </c>
      <c r="C16" s="128" t="s">
        <v>204</v>
      </c>
      <c r="D16" s="101">
        <f t="shared" si="4"/>
        <v>379.76</v>
      </c>
      <c r="E16" s="129"/>
      <c r="F16" s="129"/>
      <c r="G16" s="130"/>
      <c r="H16" s="102">
        <f t="shared" si="5"/>
        <v>379.76</v>
      </c>
      <c r="I16" s="131" t="s">
        <v>27</v>
      </c>
      <c r="J16" s="35">
        <v>36168</v>
      </c>
      <c r="K16" s="101">
        <v>105</v>
      </c>
      <c r="L16" s="132"/>
      <c r="M16" s="105"/>
      <c r="N16" s="33">
        <f t="shared" si="6"/>
        <v>103</v>
      </c>
      <c r="O16" s="133">
        <v>6.15</v>
      </c>
      <c r="P16" s="20"/>
      <c r="Q16" s="20"/>
      <c r="R16" s="20"/>
      <c r="S16" s="20"/>
      <c r="T16" s="20"/>
      <c r="U16" s="20"/>
      <c r="W16" s="2"/>
    </row>
    <row r="17" ht="15" hidden="1" customHeight="1" spans="2:25">
      <c r="B17" s="127">
        <f t="shared" si="7"/>
        <v>7</v>
      </c>
      <c r="C17" s="128" t="s">
        <v>205</v>
      </c>
      <c r="D17" s="101">
        <f t="shared" si="4"/>
        <v>0</v>
      </c>
      <c r="E17" s="129"/>
      <c r="F17" s="129"/>
      <c r="G17" s="130"/>
      <c r="H17" s="102">
        <f t="shared" si="5"/>
        <v>0</v>
      </c>
      <c r="I17" s="131" t="s">
        <v>27</v>
      </c>
      <c r="J17" s="35">
        <v>0</v>
      </c>
      <c r="K17" s="101">
        <v>98</v>
      </c>
      <c r="L17" s="132"/>
      <c r="M17" s="105"/>
      <c r="N17" s="33">
        <f t="shared" si="6"/>
        <v>96.1333333333333</v>
      </c>
      <c r="O17" s="133">
        <v>99.778</v>
      </c>
      <c r="P17" s="20"/>
      <c r="Q17" s="20"/>
      <c r="R17" s="20"/>
      <c r="S17" s="20"/>
      <c r="T17" s="20"/>
      <c r="U17" s="20"/>
      <c r="W17" s="2"/>
    </row>
    <row r="18" ht="15" hidden="1" customHeight="1" spans="2:25">
      <c r="B18" s="127">
        <f t="shared" si="7"/>
        <v>8</v>
      </c>
      <c r="C18" s="128" t="s">
        <v>206</v>
      </c>
      <c r="D18" s="101">
        <f t="shared" si="4"/>
        <v>466.57</v>
      </c>
      <c r="E18" s="129"/>
      <c r="F18" s="129"/>
      <c r="G18" s="130"/>
      <c r="H18" s="102">
        <f t="shared" si="5"/>
        <v>466.57</v>
      </c>
      <c r="I18" s="131" t="s">
        <v>27</v>
      </c>
      <c r="J18" s="35">
        <v>36168</v>
      </c>
      <c r="K18" s="101">
        <v>129</v>
      </c>
      <c r="L18" s="132"/>
      <c r="M18" s="105"/>
      <c r="N18" s="33">
        <f t="shared" si="6"/>
        <v>126.542857142857</v>
      </c>
      <c r="O18" s="133">
        <v>95.083</v>
      </c>
      <c r="P18" s="20"/>
      <c r="Q18" s="20"/>
      <c r="R18" s="20"/>
      <c r="S18" s="20"/>
      <c r="T18" s="20"/>
      <c r="U18" s="20"/>
      <c r="W18" s="2"/>
    </row>
    <row r="19" ht="15" hidden="1" customHeight="1" spans="2:25">
      <c r="B19" s="127">
        <f t="shared" si="7"/>
        <v>9</v>
      </c>
      <c r="C19" s="128" t="s">
        <v>207</v>
      </c>
      <c r="D19" s="101">
        <f t="shared" si="4"/>
        <v>0</v>
      </c>
      <c r="E19" s="129"/>
      <c r="F19" s="129"/>
      <c r="G19" s="130"/>
      <c r="H19" s="102">
        <f t="shared" si="5"/>
        <v>0</v>
      </c>
      <c r="I19" s="131" t="s">
        <v>27</v>
      </c>
      <c r="J19" s="35">
        <f t="shared" ref="J19:J24" si="8">SUM(P19:T19)</f>
        <v>0</v>
      </c>
      <c r="K19" s="101">
        <v>132</v>
      </c>
      <c r="L19" s="132"/>
      <c r="M19" s="105"/>
      <c r="N19" s="33">
        <f t="shared" si="6"/>
        <v>129.485714285714</v>
      </c>
      <c r="O19" s="133">
        <v>37.543</v>
      </c>
      <c r="P19" s="20"/>
      <c r="Q19" s="20"/>
      <c r="R19" s="20"/>
      <c r="S19" s="20"/>
      <c r="T19" s="20"/>
      <c r="U19" s="20"/>
      <c r="W19" s="2"/>
    </row>
    <row r="20" ht="15" hidden="1" customHeight="1" spans="2:25">
      <c r="B20" s="127">
        <f t="shared" si="7"/>
        <v>10</v>
      </c>
      <c r="C20" s="128" t="s">
        <v>208</v>
      </c>
      <c r="D20" s="101">
        <f t="shared" si="4"/>
        <v>79.57</v>
      </c>
      <c r="E20" s="129"/>
      <c r="F20" s="129"/>
      <c r="G20" s="130"/>
      <c r="H20" s="102">
        <f t="shared" si="5"/>
        <v>79.57</v>
      </c>
      <c r="I20" s="131" t="s">
        <v>27</v>
      </c>
      <c r="J20" s="35">
        <v>36168</v>
      </c>
      <c r="K20" s="101">
        <v>22</v>
      </c>
      <c r="L20" s="132"/>
      <c r="M20" s="105"/>
      <c r="N20" s="33">
        <f t="shared" si="6"/>
        <v>21.5809523809524</v>
      </c>
      <c r="O20" s="133">
        <v>136.246</v>
      </c>
      <c r="P20" s="20"/>
      <c r="Q20" s="20"/>
      <c r="R20" s="20"/>
      <c r="S20" s="20"/>
      <c r="T20" s="20"/>
      <c r="U20" s="20"/>
      <c r="W20" s="2"/>
    </row>
    <row r="21" ht="15" hidden="1" customHeight="1" spans="2:25">
      <c r="B21" s="127">
        <f t="shared" si="7"/>
        <v>11</v>
      </c>
      <c r="C21" s="128" t="s">
        <v>209</v>
      </c>
      <c r="D21" s="101">
        <f t="shared" si="4"/>
        <v>379.76</v>
      </c>
      <c r="E21" s="129"/>
      <c r="F21" s="129"/>
      <c r="G21" s="130"/>
      <c r="H21" s="102">
        <f t="shared" si="5"/>
        <v>379.76</v>
      </c>
      <c r="I21" s="131" t="s">
        <v>27</v>
      </c>
      <c r="J21" s="35">
        <v>36168</v>
      </c>
      <c r="K21" s="101">
        <v>105</v>
      </c>
      <c r="L21" s="132"/>
      <c r="M21" s="105"/>
      <c r="N21" s="33">
        <f t="shared" si="6"/>
        <v>103</v>
      </c>
      <c r="O21" s="133">
        <v>99.778</v>
      </c>
      <c r="P21" s="20"/>
      <c r="Q21" s="20"/>
      <c r="R21" s="20"/>
      <c r="S21" s="20"/>
      <c r="T21" s="20"/>
      <c r="U21" s="20"/>
      <c r="W21" s="2"/>
    </row>
    <row r="22" ht="15" hidden="1" customHeight="1" spans="2:25">
      <c r="B22" s="127">
        <f t="shared" si="7"/>
        <v>12</v>
      </c>
      <c r="C22" s="128" t="s">
        <v>210</v>
      </c>
      <c r="D22" s="101">
        <f t="shared" si="4"/>
        <v>0</v>
      </c>
      <c r="E22" s="129"/>
      <c r="F22" s="129"/>
      <c r="G22" s="130"/>
      <c r="H22" s="102">
        <f t="shared" si="5"/>
        <v>0</v>
      </c>
      <c r="I22" s="131" t="s">
        <v>27</v>
      </c>
      <c r="J22" s="35">
        <f t="shared" si="8"/>
        <v>0</v>
      </c>
      <c r="K22" s="101">
        <v>99</v>
      </c>
      <c r="L22" s="132"/>
      <c r="M22" s="105"/>
      <c r="N22" s="33">
        <f t="shared" si="6"/>
        <v>97.1142857142857</v>
      </c>
      <c r="O22" s="133">
        <v>49.107</v>
      </c>
      <c r="P22" s="20"/>
      <c r="Q22" s="20"/>
      <c r="R22" s="20"/>
      <c r="S22" s="20"/>
      <c r="T22" s="20"/>
      <c r="U22" s="20"/>
      <c r="W22" s="2"/>
    </row>
    <row r="23" ht="15" hidden="1" customHeight="1" spans="2:25">
      <c r="B23" s="127">
        <f t="shared" si="7"/>
        <v>13</v>
      </c>
      <c r="C23" s="128" t="s">
        <v>211</v>
      </c>
      <c r="D23" s="101">
        <f t="shared" si="4"/>
        <v>340.34</v>
      </c>
      <c r="E23" s="129"/>
      <c r="F23" s="129"/>
      <c r="G23" s="130"/>
      <c r="H23" s="102">
        <f t="shared" si="5"/>
        <v>340.34</v>
      </c>
      <c r="I23" s="131" t="s">
        <v>27</v>
      </c>
      <c r="J23" s="35">
        <v>37400</v>
      </c>
      <c r="K23" s="101">
        <v>91</v>
      </c>
      <c r="L23" s="132"/>
      <c r="M23" s="105"/>
      <c r="N23" s="33">
        <f t="shared" si="6"/>
        <v>89.2666666666667</v>
      </c>
      <c r="O23" s="133">
        <v>49.107</v>
      </c>
      <c r="P23" s="20"/>
      <c r="Q23" s="20"/>
      <c r="R23" s="20"/>
      <c r="S23" s="20"/>
      <c r="T23" s="20"/>
      <c r="U23" s="20"/>
      <c r="W23" s="2"/>
    </row>
    <row r="24" ht="15" hidden="1" customHeight="1" spans="2:25">
      <c r="B24" s="127">
        <f t="shared" si="7"/>
        <v>14</v>
      </c>
      <c r="C24" s="128" t="s">
        <v>212</v>
      </c>
      <c r="D24" s="101">
        <f t="shared" si="4"/>
        <v>0</v>
      </c>
      <c r="E24" s="129"/>
      <c r="F24" s="129"/>
      <c r="G24" s="130"/>
      <c r="H24" s="102">
        <f t="shared" si="5"/>
        <v>0</v>
      </c>
      <c r="I24" s="131" t="s">
        <v>27</v>
      </c>
      <c r="J24" s="35">
        <f t="shared" si="8"/>
        <v>0</v>
      </c>
      <c r="K24" s="101">
        <v>56</v>
      </c>
      <c r="L24" s="132"/>
      <c r="M24" s="105"/>
      <c r="N24" s="33"/>
      <c r="O24" s="133"/>
      <c r="P24" s="20"/>
      <c r="Q24" s="20"/>
      <c r="R24" s="20"/>
      <c r="S24" s="20"/>
      <c r="T24" s="20"/>
      <c r="U24" s="20"/>
      <c r="W24" s="2"/>
    </row>
    <row r="25" ht="15" hidden="1" customHeight="1" spans="2:25">
      <c r="B25" s="127">
        <f t="shared" si="7"/>
        <v>15</v>
      </c>
      <c r="C25" s="128" t="s">
        <v>213</v>
      </c>
      <c r="D25" s="101">
        <f t="shared" si="4"/>
        <v>165.1</v>
      </c>
      <c r="E25" s="129"/>
      <c r="F25" s="129"/>
      <c r="G25" s="130"/>
      <c r="H25" s="102">
        <f t="shared" si="5"/>
        <v>165.1</v>
      </c>
      <c r="I25" s="131" t="s">
        <v>27</v>
      </c>
      <c r="J25" s="35">
        <v>38396</v>
      </c>
      <c r="K25" s="101">
        <v>43</v>
      </c>
      <c r="L25" s="132"/>
      <c r="M25" s="105"/>
      <c r="N25" s="33"/>
      <c r="O25" s="133"/>
      <c r="P25" s="20"/>
      <c r="Q25" s="20"/>
      <c r="R25" s="20"/>
      <c r="S25" s="20"/>
      <c r="T25" s="20"/>
      <c r="U25" s="20"/>
      <c r="W25" s="2"/>
    </row>
    <row r="26" ht="15" hidden="1" customHeight="1" spans="2:25">
      <c r="B26" s="127">
        <f t="shared" si="7"/>
        <v>16</v>
      </c>
      <c r="C26" s="134" t="s">
        <v>214</v>
      </c>
      <c r="D26" s="101">
        <f t="shared" si="4"/>
        <v>281.37</v>
      </c>
      <c r="E26" s="129"/>
      <c r="F26" s="129"/>
      <c r="G26" s="130"/>
      <c r="H26" s="102">
        <f t="shared" si="5"/>
        <v>281.37</v>
      </c>
      <c r="I26" s="131" t="s">
        <v>27</v>
      </c>
      <c r="J26" s="35">
        <v>9804</v>
      </c>
      <c r="K26" s="101">
        <v>287</v>
      </c>
      <c r="L26" s="132"/>
      <c r="M26" s="105"/>
      <c r="N26" s="33">
        <f t="shared" ref="N26:N31" si="9">K26/1.05*1.03</f>
        <v>281.533333333333</v>
      </c>
      <c r="O26" s="133">
        <v>279.035</v>
      </c>
      <c r="P26" s="20"/>
      <c r="Q26" s="20"/>
      <c r="R26" s="20"/>
      <c r="S26" s="20"/>
      <c r="T26" s="20"/>
      <c r="U26" s="20"/>
      <c r="W26" s="2"/>
    </row>
    <row r="27" ht="15" customHeight="1" spans="2:25">
      <c r="B27" s="127">
        <f t="shared" si="7"/>
        <v>17</v>
      </c>
      <c r="C27" s="128" t="s">
        <v>215</v>
      </c>
      <c r="D27" s="101">
        <f t="shared" si="4"/>
        <v>93.44</v>
      </c>
      <c r="E27" s="129"/>
      <c r="F27" s="129"/>
      <c r="G27" s="130"/>
      <c r="H27" s="102">
        <f t="shared" si="5"/>
        <v>93.44</v>
      </c>
      <c r="I27" s="131" t="s">
        <v>34</v>
      </c>
      <c r="J27" s="35">
        <v>3448</v>
      </c>
      <c r="K27" s="101">
        <v>271</v>
      </c>
      <c r="L27" s="132"/>
      <c r="M27" s="105"/>
      <c r="N27" s="33">
        <f t="shared" si="9"/>
        <v>265.838095238095</v>
      </c>
      <c r="O27" s="133">
        <v>161.403</v>
      </c>
      <c r="P27" s="20"/>
      <c r="Q27" s="20"/>
      <c r="R27" s="20"/>
      <c r="S27" s="20"/>
      <c r="T27" s="20"/>
      <c r="U27" s="20"/>
      <c r="W27" s="2"/>
    </row>
    <row r="28" ht="15" customHeight="1" spans="2:25">
      <c r="B28" s="127">
        <f t="shared" si="7"/>
        <v>18</v>
      </c>
      <c r="C28" s="128" t="s">
        <v>216</v>
      </c>
      <c r="D28" s="101">
        <f t="shared" si="4"/>
        <v>24.65</v>
      </c>
      <c r="E28" s="129"/>
      <c r="F28" s="129"/>
      <c r="G28" s="130"/>
      <c r="H28" s="102">
        <f t="shared" si="5"/>
        <v>24.65</v>
      </c>
      <c r="I28" s="131" t="s">
        <v>34</v>
      </c>
      <c r="J28" s="35">
        <v>3377</v>
      </c>
      <c r="K28" s="101">
        <v>73</v>
      </c>
      <c r="L28" s="132"/>
      <c r="M28" s="105"/>
      <c r="N28" s="33">
        <f t="shared" si="9"/>
        <v>71.6095238095238</v>
      </c>
      <c r="O28" s="133">
        <v>74.491</v>
      </c>
      <c r="P28" s="20"/>
      <c r="Q28" s="20"/>
      <c r="R28" s="20"/>
      <c r="S28" s="20"/>
      <c r="T28" s="20"/>
      <c r="U28" s="20"/>
      <c r="W28" s="2"/>
    </row>
    <row r="29" ht="15" hidden="1" customHeight="1" spans="2:25">
      <c r="B29" s="127">
        <f t="shared" si="7"/>
        <v>19</v>
      </c>
      <c r="C29" s="134" t="s">
        <v>217</v>
      </c>
      <c r="D29" s="101">
        <f t="shared" si="4"/>
        <v>1.82</v>
      </c>
      <c r="E29" s="129"/>
      <c r="F29" s="129"/>
      <c r="G29" s="130"/>
      <c r="H29" s="102">
        <f t="shared" si="5"/>
        <v>1.82</v>
      </c>
      <c r="I29" s="131" t="s">
        <v>119</v>
      </c>
      <c r="J29" s="35">
        <v>10</v>
      </c>
      <c r="K29" s="101">
        <v>1815</v>
      </c>
      <c r="L29" s="132"/>
      <c r="M29" s="105"/>
      <c r="N29" s="33">
        <f t="shared" si="9"/>
        <v>1780.42857142857</v>
      </c>
      <c r="O29" s="133">
        <v>1838</v>
      </c>
      <c r="P29" s="20"/>
      <c r="Q29" s="20"/>
      <c r="R29" s="20"/>
      <c r="S29" s="20"/>
      <c r="T29" s="20"/>
      <c r="U29" s="20"/>
      <c r="W29" s="2"/>
    </row>
    <row r="30" ht="15" hidden="1" customHeight="1" spans="2:25">
      <c r="B30" s="127">
        <f t="shared" si="7"/>
        <v>20</v>
      </c>
      <c r="C30" s="134" t="s">
        <v>218</v>
      </c>
      <c r="D30" s="101">
        <f t="shared" si="4"/>
        <v>27.83</v>
      </c>
      <c r="E30" s="129"/>
      <c r="F30" s="129"/>
      <c r="G30" s="130"/>
      <c r="H30" s="102">
        <f t="shared" si="5"/>
        <v>27.83</v>
      </c>
      <c r="I30" s="131" t="s">
        <v>119</v>
      </c>
      <c r="J30" s="35">
        <v>100</v>
      </c>
      <c r="K30" s="101">
        <v>2783</v>
      </c>
      <c r="L30" s="132"/>
      <c r="M30" s="105"/>
      <c r="N30" s="33">
        <f t="shared" si="9"/>
        <v>2729.99047619048</v>
      </c>
      <c r="O30" s="133">
        <v>1838</v>
      </c>
      <c r="P30" s="20"/>
      <c r="Q30" s="20"/>
      <c r="R30" s="20"/>
      <c r="S30" s="20"/>
      <c r="T30" s="20"/>
      <c r="U30" s="20"/>
      <c r="W30" s="2"/>
    </row>
    <row r="31" ht="15" hidden="1" customHeight="1" spans="2:25">
      <c r="B31" s="127">
        <f t="shared" si="7"/>
        <v>21</v>
      </c>
      <c r="C31" s="134" t="s">
        <v>219</v>
      </c>
      <c r="D31" s="101">
        <f t="shared" si="4"/>
        <v>42.6</v>
      </c>
      <c r="E31" s="129"/>
      <c r="F31" s="129"/>
      <c r="G31" s="130"/>
      <c r="H31" s="102">
        <f t="shared" si="5"/>
        <v>42.6</v>
      </c>
      <c r="I31" s="131" t="s">
        <v>119</v>
      </c>
      <c r="J31" s="35">
        <v>170</v>
      </c>
      <c r="K31" s="101">
        <v>2506</v>
      </c>
      <c r="L31" s="132"/>
      <c r="M31" s="105"/>
      <c r="N31" s="33">
        <f t="shared" si="9"/>
        <v>2458.26666666667</v>
      </c>
      <c r="O31" s="133">
        <v>1838</v>
      </c>
      <c r="P31" s="20"/>
      <c r="Q31" s="20"/>
      <c r="R31" s="20"/>
      <c r="S31" s="20"/>
      <c r="T31" s="20"/>
      <c r="U31" s="20"/>
      <c r="W31" s="2"/>
    </row>
    <row r="32" s="84" customFormat="1" ht="15" hidden="1" customHeight="1" spans="2:25">
      <c r="B32" s="135" t="s">
        <v>45</v>
      </c>
      <c r="C32" s="136" t="s">
        <v>68</v>
      </c>
      <c r="D32" s="137">
        <f t="shared" ref="D32:H32" si="10">SUM(D33:D41)</f>
        <v>2930.79</v>
      </c>
      <c r="E32" s="137">
        <f t="shared" si="10"/>
        <v>0</v>
      </c>
      <c r="F32" s="137">
        <f t="shared" si="10"/>
        <v>0</v>
      </c>
      <c r="G32" s="137">
        <f t="shared" si="10"/>
        <v>0</v>
      </c>
      <c r="H32" s="137">
        <f t="shared" si="10"/>
        <v>2930.79</v>
      </c>
      <c r="I32" s="138" t="s">
        <v>17</v>
      </c>
      <c r="J32" s="137">
        <f>J7</f>
        <v>1.6</v>
      </c>
      <c r="K32" s="139">
        <f>H32/J32*10000</f>
        <v>18317437.5</v>
      </c>
      <c r="L32" s="140"/>
      <c r="M32" s="141"/>
      <c r="N32" s="142"/>
      <c r="O32" s="142"/>
      <c r="P32" s="119"/>
      <c r="Q32" s="119"/>
      <c r="R32" s="119"/>
      <c r="S32" s="119"/>
      <c r="T32" s="119"/>
      <c r="U32" s="119"/>
      <c r="V32" s="143"/>
      <c r="W32" s="83"/>
      <c r="X32" s="143"/>
      <c r="Y32" s="143"/>
    </row>
    <row r="33" s="83" customFormat="1" ht="15" customHeight="1" spans="1:25">
      <c r="B33" s="121">
        <v>1</v>
      </c>
      <c r="C33" s="144" t="s">
        <v>220</v>
      </c>
      <c r="D33" s="110">
        <f t="shared" ref="D33:D41" si="11">ROUND(J33*K33/10000,2)</f>
        <v>583.96</v>
      </c>
      <c r="E33" s="123"/>
      <c r="F33" s="123"/>
      <c r="G33" s="124"/>
      <c r="H33" s="113">
        <f t="shared" ref="H33:H41" si="12">SUM(D33:G33)</f>
        <v>583.96</v>
      </c>
      <c r="I33" s="125" t="s">
        <v>34</v>
      </c>
      <c r="J33" s="114">
        <v>650</v>
      </c>
      <c r="K33" s="110">
        <v>8984</v>
      </c>
      <c r="L33" s="126"/>
      <c r="M33" s="116"/>
      <c r="N33" s="117">
        <f t="shared" ref="N33:N37" si="13">K33/1.05*1.03</f>
        <v>8812.87619047619</v>
      </c>
      <c r="O33" s="118">
        <v>2823.25</v>
      </c>
      <c r="P33" s="119"/>
      <c r="Q33" s="119"/>
      <c r="R33" s="119"/>
      <c r="S33" s="119"/>
      <c r="T33" s="119"/>
      <c r="U33" s="119"/>
      <c r="V33" s="120"/>
      <c r="X33" s="120"/>
      <c r="Y33" s="120"/>
    </row>
    <row r="34" s="83" customFormat="1" ht="15" customHeight="1" spans="1:25">
      <c r="B34" s="121">
        <f t="shared" ref="B34:B41" si="14">B33+1</f>
        <v>2</v>
      </c>
      <c r="C34" s="144" t="s">
        <v>221</v>
      </c>
      <c r="D34" s="110">
        <f t="shared" si="11"/>
        <v>495.32</v>
      </c>
      <c r="E34" s="123"/>
      <c r="F34" s="123"/>
      <c r="G34" s="124"/>
      <c r="H34" s="113">
        <f t="shared" si="12"/>
        <v>495.32</v>
      </c>
      <c r="I34" s="125" t="s">
        <v>34</v>
      </c>
      <c r="J34" s="114">
        <v>350</v>
      </c>
      <c r="K34" s="110">
        <v>14152</v>
      </c>
      <c r="L34" s="126"/>
      <c r="M34" s="116"/>
      <c r="N34" s="117">
        <f t="shared" si="13"/>
        <v>13882.4380952381</v>
      </c>
      <c r="O34" s="118">
        <v>2823.25</v>
      </c>
      <c r="P34" s="119"/>
      <c r="Q34" s="119"/>
      <c r="R34" s="119"/>
      <c r="S34" s="119"/>
      <c r="T34" s="119"/>
      <c r="U34" s="119"/>
      <c r="V34" s="120"/>
      <c r="X34" s="120"/>
      <c r="Y34" s="120"/>
    </row>
    <row r="35" s="83" customFormat="1" ht="15" customHeight="1" spans="1:25">
      <c r="B35" s="121">
        <f t="shared" si="14"/>
        <v>3</v>
      </c>
      <c r="C35" s="144" t="s">
        <v>222</v>
      </c>
      <c r="D35" s="110">
        <f t="shared" si="11"/>
        <v>1479.3</v>
      </c>
      <c r="E35" s="123"/>
      <c r="F35" s="123"/>
      <c r="G35" s="124"/>
      <c r="H35" s="113">
        <f t="shared" si="12"/>
        <v>1479.3</v>
      </c>
      <c r="I35" s="125" t="s">
        <v>34</v>
      </c>
      <c r="J35" s="114">
        <v>1000</v>
      </c>
      <c r="K35" s="110">
        <v>14793</v>
      </c>
      <c r="L35" s="126"/>
      <c r="M35" s="116"/>
      <c r="N35" s="117">
        <f t="shared" si="13"/>
        <v>14511.2285714286</v>
      </c>
      <c r="O35" s="118">
        <v>2823.25</v>
      </c>
      <c r="P35" s="119"/>
      <c r="Q35" s="119"/>
      <c r="R35" s="119"/>
      <c r="S35" s="119"/>
      <c r="T35" s="119"/>
      <c r="U35" s="119"/>
      <c r="V35" s="120"/>
      <c r="X35" s="120"/>
      <c r="Y35" s="120"/>
    </row>
    <row r="36" s="83" customFormat="1" ht="15" customHeight="1" spans="1:25">
      <c r="B36" s="121">
        <f t="shared" si="14"/>
        <v>4</v>
      </c>
      <c r="C36" s="144" t="s">
        <v>223</v>
      </c>
      <c r="D36" s="110">
        <f t="shared" si="11"/>
        <v>72.06</v>
      </c>
      <c r="E36" s="123"/>
      <c r="F36" s="123"/>
      <c r="G36" s="124"/>
      <c r="H36" s="113">
        <f t="shared" si="12"/>
        <v>72.06</v>
      </c>
      <c r="I36" s="125" t="s">
        <v>34</v>
      </c>
      <c r="J36" s="114">
        <v>200</v>
      </c>
      <c r="K36" s="110">
        <v>3603</v>
      </c>
      <c r="L36" s="126"/>
      <c r="M36" s="116"/>
      <c r="N36" s="117">
        <f t="shared" si="13"/>
        <v>3534.37142857143</v>
      </c>
      <c r="O36" s="118">
        <v>2823.25</v>
      </c>
      <c r="P36" s="119"/>
      <c r="Q36" s="119"/>
      <c r="R36" s="119"/>
      <c r="S36" s="119"/>
      <c r="T36" s="119"/>
      <c r="U36" s="119"/>
      <c r="V36" s="120"/>
      <c r="X36" s="120"/>
      <c r="Y36" s="120"/>
    </row>
    <row r="37" s="83" customFormat="1" ht="15" customHeight="1" spans="1:25">
      <c r="B37" s="121">
        <f t="shared" si="14"/>
        <v>5</v>
      </c>
      <c r="C37" s="144" t="s">
        <v>224</v>
      </c>
      <c r="D37" s="110">
        <f t="shared" si="11"/>
        <v>104.11</v>
      </c>
      <c r="E37" s="123"/>
      <c r="F37" s="123"/>
      <c r="G37" s="124"/>
      <c r="H37" s="113">
        <f t="shared" si="12"/>
        <v>104.11</v>
      </c>
      <c r="I37" s="125" t="s">
        <v>34</v>
      </c>
      <c r="J37" s="114">
        <v>1440</v>
      </c>
      <c r="K37" s="110">
        <v>723</v>
      </c>
      <c r="L37" s="126"/>
      <c r="M37" s="116"/>
      <c r="N37" s="117">
        <f t="shared" si="13"/>
        <v>709.228571428571</v>
      </c>
      <c r="O37" s="118">
        <v>2823.25</v>
      </c>
      <c r="P37" s="119"/>
      <c r="Q37" s="119"/>
      <c r="R37" s="119"/>
      <c r="S37" s="119"/>
      <c r="T37" s="119"/>
      <c r="U37" s="119"/>
      <c r="V37" s="120"/>
      <c r="X37" s="120"/>
      <c r="Y37" s="120"/>
    </row>
    <row r="38" s="83" customFormat="1" ht="15" hidden="1" customHeight="1" spans="1:25">
      <c r="B38" s="121">
        <f t="shared" si="14"/>
        <v>6</v>
      </c>
      <c r="C38" s="144" t="s">
        <v>225</v>
      </c>
      <c r="D38" s="110">
        <f t="shared" si="11"/>
        <v>7</v>
      </c>
      <c r="E38" s="123"/>
      <c r="F38" s="123"/>
      <c r="G38" s="124"/>
      <c r="H38" s="113">
        <f t="shared" si="12"/>
        <v>7</v>
      </c>
      <c r="I38" s="125" t="s">
        <v>119</v>
      </c>
      <c r="J38" s="114">
        <v>7</v>
      </c>
      <c r="K38" s="110">
        <v>10000</v>
      </c>
      <c r="L38" s="126"/>
      <c r="M38" s="116"/>
      <c r="N38" s="117"/>
      <c r="O38" s="118"/>
      <c r="P38" s="119"/>
      <c r="Q38" s="119"/>
      <c r="R38" s="119"/>
      <c r="S38" s="119"/>
      <c r="T38" s="119"/>
      <c r="U38" s="119"/>
      <c r="V38" s="120"/>
      <c r="X38" s="120"/>
      <c r="Y38" s="120"/>
    </row>
    <row r="39" s="83" customFormat="1" ht="15" hidden="1" customHeight="1" spans="1:25">
      <c r="B39" s="121">
        <f t="shared" si="14"/>
        <v>7</v>
      </c>
      <c r="C39" s="144" t="s">
        <v>226</v>
      </c>
      <c r="D39" s="110">
        <f t="shared" si="11"/>
        <v>40</v>
      </c>
      <c r="E39" s="123"/>
      <c r="F39" s="123"/>
      <c r="G39" s="124"/>
      <c r="H39" s="113">
        <f t="shared" si="12"/>
        <v>40</v>
      </c>
      <c r="I39" s="125" t="s">
        <v>119</v>
      </c>
      <c r="J39" s="114">
        <v>20</v>
      </c>
      <c r="K39" s="110">
        <v>20000</v>
      </c>
      <c r="L39" s="126"/>
      <c r="M39" s="116"/>
      <c r="N39" s="117"/>
      <c r="O39" s="118"/>
      <c r="P39" s="119"/>
      <c r="Q39" s="119"/>
      <c r="R39" s="119"/>
      <c r="S39" s="119"/>
      <c r="T39" s="119"/>
      <c r="U39" s="119"/>
      <c r="V39" s="120"/>
      <c r="X39" s="120"/>
      <c r="Y39" s="120"/>
    </row>
    <row r="40" s="83" customFormat="1" ht="15" hidden="1" customHeight="1" spans="1:25">
      <c r="B40" s="121">
        <f t="shared" si="14"/>
        <v>8</v>
      </c>
      <c r="C40" s="144" t="s">
        <v>227</v>
      </c>
      <c r="D40" s="110">
        <f t="shared" si="11"/>
        <v>126</v>
      </c>
      <c r="E40" s="123"/>
      <c r="F40" s="123"/>
      <c r="G40" s="124"/>
      <c r="H40" s="113">
        <f t="shared" si="12"/>
        <v>126</v>
      </c>
      <c r="I40" s="125" t="s">
        <v>119</v>
      </c>
      <c r="J40" s="114">
        <v>45</v>
      </c>
      <c r="K40" s="110">
        <v>28000</v>
      </c>
      <c r="L40" s="126"/>
      <c r="M40" s="116"/>
      <c r="N40" s="117">
        <f t="shared" ref="N40:N46" si="15">K40/1.05*1.03</f>
        <v>27466.6666666667</v>
      </c>
      <c r="O40" s="118">
        <v>2823.25</v>
      </c>
      <c r="P40" s="119"/>
      <c r="Q40" s="119"/>
      <c r="R40" s="119"/>
      <c r="S40" s="119"/>
      <c r="T40" s="119"/>
      <c r="U40" s="119"/>
      <c r="V40" s="120"/>
      <c r="X40" s="120"/>
      <c r="Y40" s="120"/>
    </row>
    <row r="41" s="83" customFormat="1" ht="15" hidden="1" customHeight="1" spans="1:25">
      <c r="B41" s="121">
        <f t="shared" si="14"/>
        <v>9</v>
      </c>
      <c r="C41" s="144" t="s">
        <v>228</v>
      </c>
      <c r="D41" s="110">
        <f t="shared" si="11"/>
        <v>23.04</v>
      </c>
      <c r="E41" s="123"/>
      <c r="F41" s="123"/>
      <c r="G41" s="124"/>
      <c r="H41" s="113">
        <f t="shared" si="12"/>
        <v>23.04</v>
      </c>
      <c r="I41" s="125" t="s">
        <v>119</v>
      </c>
      <c r="J41" s="114">
        <v>144</v>
      </c>
      <c r="K41" s="110">
        <v>1600</v>
      </c>
      <c r="L41" s="126"/>
      <c r="M41" s="116"/>
      <c r="N41" s="117">
        <f t="shared" si="15"/>
        <v>1569.52380952381</v>
      </c>
      <c r="O41" s="118">
        <v>2823.25</v>
      </c>
      <c r="P41" s="119"/>
      <c r="Q41" s="119"/>
      <c r="R41" s="119"/>
      <c r="S41" s="119"/>
      <c r="T41" s="119"/>
      <c r="U41" s="119"/>
      <c r="V41" s="120"/>
      <c r="X41" s="120"/>
      <c r="Y41" s="120"/>
    </row>
    <row r="42" s="84" customFormat="1" ht="15" hidden="1" customHeight="1" spans="1:25">
      <c r="B42" s="135" t="s">
        <v>59</v>
      </c>
      <c r="C42" s="136" t="s">
        <v>73</v>
      </c>
      <c r="D42" s="137">
        <f t="shared" ref="D42:H42" si="16">SUM(D43:D46)</f>
        <v>303.45</v>
      </c>
      <c r="E42" s="137">
        <f t="shared" si="16"/>
        <v>0</v>
      </c>
      <c r="F42" s="137">
        <f t="shared" si="16"/>
        <v>0</v>
      </c>
      <c r="G42" s="137">
        <f t="shared" si="16"/>
        <v>0</v>
      </c>
      <c r="H42" s="137">
        <f t="shared" si="16"/>
        <v>303.45</v>
      </c>
      <c r="I42" s="138" t="s">
        <v>17</v>
      </c>
      <c r="J42" s="137">
        <f>J32</f>
        <v>1.6</v>
      </c>
      <c r="K42" s="139">
        <f>H42/J42*10000</f>
        <v>1896562.5</v>
      </c>
      <c r="L42" s="140"/>
      <c r="M42" s="141"/>
      <c r="N42" s="142"/>
      <c r="O42" s="142"/>
      <c r="P42" s="119"/>
      <c r="Q42" s="119"/>
      <c r="R42" s="119"/>
      <c r="S42" s="119"/>
      <c r="T42" s="119"/>
      <c r="U42" s="119"/>
      <c r="V42" s="143"/>
      <c r="W42" s="83"/>
      <c r="X42" s="143"/>
      <c r="Y42" s="143"/>
    </row>
    <row r="43" s="83" customFormat="1" ht="15" customHeight="1" spans="1:25">
      <c r="B43" s="121">
        <v>1</v>
      </c>
      <c r="C43" s="144" t="s">
        <v>229</v>
      </c>
      <c r="D43" s="110">
        <f t="shared" ref="D43:D46" si="17">ROUND(J43*K43/10000,2)</f>
        <v>270.6</v>
      </c>
      <c r="E43" s="123"/>
      <c r="F43" s="123"/>
      <c r="G43" s="124"/>
      <c r="H43" s="113">
        <f t="shared" ref="H43:H46" si="18">SUM(D43:G43)</f>
        <v>270.6</v>
      </c>
      <c r="I43" s="125" t="s">
        <v>34</v>
      </c>
      <c r="J43" s="114">
        <v>1000</v>
      </c>
      <c r="K43" s="110">
        <v>2706</v>
      </c>
      <c r="L43" s="126"/>
      <c r="M43" s="116"/>
      <c r="N43" s="117">
        <f t="shared" si="15"/>
        <v>2654.45714285714</v>
      </c>
      <c r="O43" s="118">
        <v>2823.25</v>
      </c>
      <c r="P43" s="119"/>
      <c r="Q43" s="119"/>
      <c r="R43" s="119"/>
      <c r="S43" s="119"/>
      <c r="T43" s="119"/>
      <c r="U43" s="119"/>
      <c r="V43" s="120"/>
      <c r="X43" s="120"/>
      <c r="Y43" s="120"/>
    </row>
    <row r="44" s="83" customFormat="1" ht="15" customHeight="1" spans="1:25">
      <c r="B44" s="121">
        <f t="shared" ref="B44:B46" si="19">B43+1</f>
        <v>2</v>
      </c>
      <c r="C44" s="144" t="s">
        <v>230</v>
      </c>
      <c r="D44" s="110">
        <f t="shared" si="17"/>
        <v>3.1</v>
      </c>
      <c r="E44" s="123"/>
      <c r="F44" s="123"/>
      <c r="G44" s="124"/>
      <c r="H44" s="113">
        <f t="shared" si="18"/>
        <v>3.1</v>
      </c>
      <c r="I44" s="125" t="s">
        <v>34</v>
      </c>
      <c r="J44" s="114">
        <v>1000</v>
      </c>
      <c r="K44" s="110">
        <v>31</v>
      </c>
      <c r="L44" s="126"/>
      <c r="M44" s="116"/>
      <c r="N44" s="117">
        <f t="shared" si="15"/>
        <v>30.4095238095238</v>
      </c>
      <c r="O44" s="118">
        <v>2823.25</v>
      </c>
      <c r="P44" s="119"/>
      <c r="Q44" s="119"/>
      <c r="R44" s="119"/>
      <c r="S44" s="119"/>
      <c r="T44" s="119"/>
      <c r="U44" s="119"/>
      <c r="V44" s="120"/>
      <c r="X44" s="120"/>
      <c r="Y44" s="120"/>
    </row>
    <row r="45" s="83" customFormat="1" ht="15" customHeight="1" spans="1:25">
      <c r="B45" s="121">
        <f t="shared" si="19"/>
        <v>3</v>
      </c>
      <c r="C45" s="144" t="s">
        <v>231</v>
      </c>
      <c r="D45" s="110">
        <f t="shared" si="17"/>
        <v>0</v>
      </c>
      <c r="E45" s="123"/>
      <c r="F45" s="123"/>
      <c r="G45" s="124"/>
      <c r="H45" s="113">
        <f t="shared" si="18"/>
        <v>0</v>
      </c>
      <c r="I45" s="125" t="s">
        <v>34</v>
      </c>
      <c r="J45" s="114">
        <v>0</v>
      </c>
      <c r="K45" s="110">
        <v>3263</v>
      </c>
      <c r="L45" s="126"/>
      <c r="M45" s="116"/>
      <c r="N45" s="117">
        <f t="shared" si="15"/>
        <v>3200.84761904762</v>
      </c>
      <c r="O45" s="118">
        <v>2823.25</v>
      </c>
      <c r="P45" s="119"/>
      <c r="Q45" s="119"/>
      <c r="R45" s="119"/>
      <c r="S45" s="119"/>
      <c r="T45" s="119"/>
      <c r="U45" s="119"/>
      <c r="V45" s="120"/>
      <c r="X45" s="120"/>
      <c r="Y45" s="120"/>
    </row>
    <row r="46" s="83" customFormat="1" ht="15" hidden="1" customHeight="1" spans="1:25">
      <c r="B46" s="121">
        <f t="shared" si="19"/>
        <v>4</v>
      </c>
      <c r="C46" s="144" t="s">
        <v>232</v>
      </c>
      <c r="D46" s="110">
        <f t="shared" si="17"/>
        <v>29.75</v>
      </c>
      <c r="E46" s="123"/>
      <c r="F46" s="123"/>
      <c r="G46" s="124"/>
      <c r="H46" s="113">
        <f t="shared" si="18"/>
        <v>29.75</v>
      </c>
      <c r="I46" s="125" t="s">
        <v>119</v>
      </c>
      <c r="J46" s="114">
        <v>35</v>
      </c>
      <c r="K46" s="110">
        <v>8500</v>
      </c>
      <c r="L46" s="126"/>
      <c r="M46" s="116"/>
      <c r="N46" s="117">
        <f t="shared" si="15"/>
        <v>8338.09523809524</v>
      </c>
      <c r="O46" s="118">
        <v>2823.25</v>
      </c>
      <c r="P46" s="119"/>
      <c r="Q46" s="119"/>
      <c r="R46" s="119"/>
      <c r="S46" s="119"/>
      <c r="T46" s="119"/>
      <c r="U46" s="119"/>
      <c r="V46" s="120"/>
      <c r="X46" s="120"/>
      <c r="Y46" s="120"/>
    </row>
    <row r="47" s="85" customFormat="1" ht="15" hidden="1" customHeight="1" spans="1:25">
      <c r="B47" s="135" t="s">
        <v>63</v>
      </c>
      <c r="C47" s="136" t="s">
        <v>64</v>
      </c>
      <c r="D47" s="137">
        <f t="shared" ref="D47:H47" si="20">SUM(D48:D52)</f>
        <v>137.76</v>
      </c>
      <c r="E47" s="137">
        <f t="shared" si="20"/>
        <v>0</v>
      </c>
      <c r="F47" s="137">
        <f t="shared" si="20"/>
        <v>0</v>
      </c>
      <c r="G47" s="137">
        <f t="shared" si="20"/>
        <v>0</v>
      </c>
      <c r="H47" s="137">
        <f t="shared" si="20"/>
        <v>137.76</v>
      </c>
      <c r="I47" s="138" t="s">
        <v>17</v>
      </c>
      <c r="J47" s="137">
        <f>J42</f>
        <v>1.6</v>
      </c>
      <c r="K47" s="139">
        <f>H47/J47*10000</f>
        <v>861000</v>
      </c>
      <c r="L47" s="140"/>
      <c r="M47" s="141"/>
      <c r="N47" s="142"/>
      <c r="O47" s="142"/>
      <c r="P47" s="119"/>
      <c r="Q47" s="119"/>
      <c r="R47" s="119"/>
      <c r="S47" s="119"/>
      <c r="T47" s="119"/>
      <c r="U47" s="119"/>
      <c r="V47" s="120"/>
      <c r="W47" s="83"/>
      <c r="X47" s="145"/>
      <c r="Y47" s="145"/>
    </row>
    <row r="48" ht="15" customHeight="1" spans="1:25">
      <c r="A48" s="83"/>
      <c r="B48" s="127">
        <v>1</v>
      </c>
      <c r="C48" s="134" t="s">
        <v>233</v>
      </c>
      <c r="D48" s="101">
        <f t="shared" ref="D48:D52" si="21">ROUND(J48*K48/10000,2)</f>
        <v>112.71</v>
      </c>
      <c r="E48" s="129"/>
      <c r="F48" s="129"/>
      <c r="G48" s="130"/>
      <c r="H48" s="102">
        <f t="shared" ref="H48:H52" si="22">SUM(D48:G48)</f>
        <v>112.71</v>
      </c>
      <c r="I48" s="131" t="s">
        <v>34</v>
      </c>
      <c r="J48" s="35">
        <v>1300</v>
      </c>
      <c r="K48" s="101">
        <v>867</v>
      </c>
      <c r="L48" s="132"/>
      <c r="M48" s="105"/>
      <c r="N48" s="117">
        <f t="shared" ref="N48:N52" si="23">K48/1.05*1.03</f>
        <v>850.485714285714</v>
      </c>
      <c r="O48" s="118">
        <v>2823.25</v>
      </c>
      <c r="P48" s="20"/>
      <c r="Q48" s="20"/>
      <c r="R48" s="20"/>
      <c r="S48" s="20"/>
      <c r="T48" s="20"/>
      <c r="U48" s="20"/>
      <c r="W48" s="2"/>
    </row>
    <row r="49" s="83" customFormat="1" ht="15" hidden="1" customHeight="1" spans="2:25">
      <c r="B49" s="121">
        <f t="shared" ref="B49:B52" si="24">B48+1</f>
        <v>2</v>
      </c>
      <c r="C49" s="144" t="s">
        <v>234</v>
      </c>
      <c r="D49" s="110">
        <f t="shared" si="21"/>
        <v>5.14</v>
      </c>
      <c r="E49" s="123"/>
      <c r="F49" s="123"/>
      <c r="G49" s="124"/>
      <c r="H49" s="113">
        <f t="shared" si="22"/>
        <v>5.14</v>
      </c>
      <c r="I49" s="125" t="s">
        <v>119</v>
      </c>
      <c r="J49" s="114">
        <v>8</v>
      </c>
      <c r="K49" s="110">
        <v>6419</v>
      </c>
      <c r="L49" s="126"/>
      <c r="M49" s="116"/>
      <c r="N49" s="117">
        <f t="shared" si="23"/>
        <v>6296.73333333333</v>
      </c>
      <c r="O49" s="118">
        <v>2823.25</v>
      </c>
      <c r="P49" s="119"/>
      <c r="Q49" s="119"/>
      <c r="R49" s="119"/>
      <c r="S49" s="119"/>
      <c r="T49" s="119"/>
      <c r="U49" s="119"/>
      <c r="V49" s="120"/>
      <c r="X49" s="120"/>
      <c r="Y49" s="120"/>
    </row>
    <row r="50" s="83" customFormat="1" ht="15" hidden="1" customHeight="1" spans="2:25">
      <c r="B50" s="121">
        <f t="shared" si="24"/>
        <v>3</v>
      </c>
      <c r="C50" s="144" t="s">
        <v>235</v>
      </c>
      <c r="D50" s="110">
        <f t="shared" si="21"/>
        <v>17.09</v>
      </c>
      <c r="E50" s="123"/>
      <c r="F50" s="123"/>
      <c r="G50" s="124"/>
      <c r="H50" s="113">
        <f t="shared" si="22"/>
        <v>17.09</v>
      </c>
      <c r="I50" s="125" t="s">
        <v>119</v>
      </c>
      <c r="J50" s="114">
        <v>12</v>
      </c>
      <c r="K50" s="110">
        <v>14245</v>
      </c>
      <c r="L50" s="126"/>
      <c r="M50" s="116"/>
      <c r="N50" s="117">
        <f t="shared" si="23"/>
        <v>13973.6666666667</v>
      </c>
      <c r="O50" s="118">
        <v>2823.25</v>
      </c>
      <c r="P50" s="119"/>
      <c r="Q50" s="119"/>
      <c r="R50" s="119"/>
      <c r="S50" s="119"/>
      <c r="T50" s="119"/>
      <c r="U50" s="119"/>
      <c r="V50" s="120"/>
      <c r="X50" s="120"/>
      <c r="Y50" s="120"/>
    </row>
    <row r="51" s="83" customFormat="1" ht="15" hidden="1" customHeight="1" spans="2:25">
      <c r="B51" s="121">
        <f t="shared" si="24"/>
        <v>4</v>
      </c>
      <c r="C51" s="144" t="s">
        <v>236</v>
      </c>
      <c r="D51" s="110">
        <f t="shared" si="21"/>
        <v>1.3</v>
      </c>
      <c r="E51" s="123"/>
      <c r="F51" s="123"/>
      <c r="G51" s="124"/>
      <c r="H51" s="113">
        <f t="shared" si="22"/>
        <v>1.3</v>
      </c>
      <c r="I51" s="125" t="s">
        <v>119</v>
      </c>
      <c r="J51" s="114">
        <v>2</v>
      </c>
      <c r="K51" s="110">
        <v>6509</v>
      </c>
      <c r="L51" s="126"/>
      <c r="M51" s="116"/>
      <c r="N51" s="117">
        <f t="shared" si="23"/>
        <v>6385.01904761905</v>
      </c>
      <c r="O51" s="118">
        <v>2823.25</v>
      </c>
      <c r="P51" s="119"/>
      <c r="Q51" s="119"/>
      <c r="R51" s="119"/>
      <c r="S51" s="119"/>
      <c r="T51" s="119"/>
      <c r="U51" s="119"/>
      <c r="V51" s="120"/>
      <c r="X51" s="120"/>
      <c r="Y51" s="120"/>
    </row>
    <row r="52" s="83" customFormat="1" ht="15" hidden="1" customHeight="1" spans="2:25">
      <c r="B52" s="121">
        <f t="shared" si="24"/>
        <v>5</v>
      </c>
      <c r="C52" s="144" t="s">
        <v>237</v>
      </c>
      <c r="D52" s="110">
        <f t="shared" si="21"/>
        <v>1.52</v>
      </c>
      <c r="E52" s="123"/>
      <c r="F52" s="123"/>
      <c r="G52" s="124"/>
      <c r="H52" s="113">
        <f t="shared" si="22"/>
        <v>1.52</v>
      </c>
      <c r="I52" s="125" t="s">
        <v>119</v>
      </c>
      <c r="J52" s="114">
        <v>2</v>
      </c>
      <c r="K52" s="110">
        <v>7616</v>
      </c>
      <c r="L52" s="126"/>
      <c r="M52" s="116"/>
      <c r="N52" s="117">
        <f t="shared" si="23"/>
        <v>7470.93333333333</v>
      </c>
      <c r="O52" s="118">
        <v>2823.25</v>
      </c>
      <c r="P52" s="119"/>
      <c r="Q52" s="119"/>
      <c r="R52" s="119"/>
      <c r="S52" s="119"/>
      <c r="T52" s="119"/>
      <c r="U52" s="119"/>
      <c r="V52" s="120"/>
      <c r="X52" s="120"/>
      <c r="Y52" s="120"/>
    </row>
    <row r="53" s="86" customFormat="1" ht="15" hidden="1" customHeight="1" spans="2:25">
      <c r="B53" s="96" t="s">
        <v>67</v>
      </c>
      <c r="C53" s="26" t="s">
        <v>85</v>
      </c>
      <c r="D53" s="27">
        <f t="shared" ref="D53:H53" si="25">SUM(D54:D59)</f>
        <v>525.54</v>
      </c>
      <c r="E53" s="27">
        <f t="shared" si="25"/>
        <v>0</v>
      </c>
      <c r="F53" s="27">
        <f t="shared" si="25"/>
        <v>0</v>
      </c>
      <c r="G53" s="27">
        <f t="shared" si="25"/>
        <v>0</v>
      </c>
      <c r="H53" s="27">
        <f t="shared" si="25"/>
        <v>525.54</v>
      </c>
      <c r="I53" s="28" t="s">
        <v>17</v>
      </c>
      <c r="J53" s="27">
        <f>J47</f>
        <v>1.6</v>
      </c>
      <c r="K53" s="29">
        <f>H53/J53*10000</f>
        <v>3284625</v>
      </c>
      <c r="L53" s="107"/>
      <c r="M53" s="97"/>
      <c r="N53" s="32"/>
      <c r="O53" s="32"/>
      <c r="P53" s="20"/>
      <c r="Q53" s="20"/>
      <c r="R53" s="20"/>
      <c r="S53" s="20"/>
      <c r="T53" s="20"/>
      <c r="U53" s="20"/>
      <c r="V53" s="6"/>
      <c r="W53" s="2"/>
      <c r="X53" s="146"/>
      <c r="Y53" s="146"/>
    </row>
    <row r="54" ht="15" customHeight="1" spans="2:25">
      <c r="B54" s="127">
        <v>1</v>
      </c>
      <c r="C54" s="134" t="s">
        <v>238</v>
      </c>
      <c r="D54" s="101">
        <f t="shared" ref="D54:D59" si="26">ROUND(J54*K54/10000,2)</f>
        <v>270.56</v>
      </c>
      <c r="E54" s="129"/>
      <c r="F54" s="129"/>
      <c r="G54" s="130"/>
      <c r="H54" s="102">
        <f t="shared" ref="H54:H59" si="27">SUM(D54:G54)</f>
        <v>270.56</v>
      </c>
      <c r="I54" s="131" t="s">
        <v>34</v>
      </c>
      <c r="J54" s="35">
        <v>1600</v>
      </c>
      <c r="K54" s="101">
        <v>1691</v>
      </c>
      <c r="L54" s="132"/>
      <c r="M54" s="105"/>
      <c r="N54" s="33">
        <f t="shared" ref="N54:N59" si="28">K54/1.05*1.03</f>
        <v>1658.79047619048</v>
      </c>
      <c r="O54" s="133">
        <v>2823.25</v>
      </c>
      <c r="P54" s="20"/>
      <c r="Q54" s="20"/>
      <c r="R54" s="20"/>
      <c r="S54" s="20"/>
      <c r="T54" s="20"/>
      <c r="U54" s="20"/>
      <c r="W54" s="2"/>
    </row>
    <row r="55" ht="15" customHeight="1" spans="2:25">
      <c r="B55" s="127">
        <f t="shared" ref="B55:B59" si="29">B54+1</f>
        <v>2</v>
      </c>
      <c r="C55" s="134" t="s">
        <v>239</v>
      </c>
      <c r="D55" s="101">
        <f t="shared" si="26"/>
        <v>79.6</v>
      </c>
      <c r="E55" s="129"/>
      <c r="F55" s="129"/>
      <c r="G55" s="130"/>
      <c r="H55" s="102">
        <f t="shared" si="27"/>
        <v>79.6</v>
      </c>
      <c r="I55" s="131" t="s">
        <v>34</v>
      </c>
      <c r="J55" s="35">
        <v>360</v>
      </c>
      <c r="K55" s="101">
        <v>2211</v>
      </c>
      <c r="L55" s="132"/>
      <c r="M55" s="105"/>
      <c r="N55" s="33">
        <f t="shared" si="28"/>
        <v>2168.88571428571</v>
      </c>
      <c r="O55" s="133">
        <v>2823.25</v>
      </c>
      <c r="P55" s="20"/>
      <c r="Q55" s="20"/>
      <c r="R55" s="20"/>
      <c r="S55" s="20"/>
      <c r="T55" s="20"/>
      <c r="U55" s="20"/>
      <c r="W55" s="2"/>
    </row>
    <row r="56" ht="15" hidden="1" customHeight="1" spans="2:25">
      <c r="B56" s="127">
        <f t="shared" si="29"/>
        <v>3</v>
      </c>
      <c r="C56" s="134" t="s">
        <v>240</v>
      </c>
      <c r="D56" s="101">
        <f t="shared" si="26"/>
        <v>130.74</v>
      </c>
      <c r="E56" s="129"/>
      <c r="F56" s="129"/>
      <c r="G56" s="130"/>
      <c r="H56" s="102">
        <f t="shared" si="27"/>
        <v>130.74</v>
      </c>
      <c r="I56" s="131" t="s">
        <v>119</v>
      </c>
      <c r="J56" s="35">
        <v>54</v>
      </c>
      <c r="K56" s="101">
        <v>24211</v>
      </c>
      <c r="L56" s="132"/>
      <c r="M56" s="105"/>
      <c r="N56" s="33">
        <f t="shared" si="28"/>
        <v>23749.8380952381</v>
      </c>
      <c r="O56" s="133">
        <v>2823.25</v>
      </c>
      <c r="P56" s="20"/>
      <c r="Q56" s="20"/>
      <c r="R56" s="20"/>
      <c r="S56" s="20"/>
      <c r="T56" s="20"/>
      <c r="U56" s="20"/>
      <c r="W56" s="2"/>
    </row>
    <row r="57" ht="15" hidden="1" customHeight="1" spans="2:25">
      <c r="B57" s="127">
        <f t="shared" si="29"/>
        <v>4</v>
      </c>
      <c r="C57" s="134" t="s">
        <v>241</v>
      </c>
      <c r="D57" s="101">
        <f t="shared" si="26"/>
        <v>29.05</v>
      </c>
      <c r="E57" s="129"/>
      <c r="F57" s="129"/>
      <c r="G57" s="130"/>
      <c r="H57" s="102">
        <f t="shared" si="27"/>
        <v>29.05</v>
      </c>
      <c r="I57" s="131" t="s">
        <v>119</v>
      </c>
      <c r="J57" s="35">
        <v>12</v>
      </c>
      <c r="K57" s="101">
        <v>24211</v>
      </c>
      <c r="L57" s="132"/>
      <c r="M57" s="105"/>
      <c r="N57" s="33">
        <f t="shared" si="28"/>
        <v>23749.8380952381</v>
      </c>
      <c r="O57" s="133">
        <v>2823.25</v>
      </c>
      <c r="P57" s="20"/>
      <c r="Q57" s="20"/>
      <c r="R57" s="20"/>
      <c r="S57" s="20"/>
      <c r="T57" s="20"/>
      <c r="U57" s="20"/>
      <c r="W57" s="2"/>
    </row>
    <row r="58" ht="15" customHeight="1" spans="2:25">
      <c r="B58" s="127">
        <f t="shared" si="29"/>
        <v>5</v>
      </c>
      <c r="C58" s="134" t="s">
        <v>242</v>
      </c>
      <c r="D58" s="101">
        <f t="shared" si="26"/>
        <v>11.76</v>
      </c>
      <c r="E58" s="129"/>
      <c r="F58" s="129"/>
      <c r="G58" s="130"/>
      <c r="H58" s="102">
        <f t="shared" si="27"/>
        <v>11.76</v>
      </c>
      <c r="I58" s="131" t="s">
        <v>34</v>
      </c>
      <c r="J58" s="35">
        <v>3920</v>
      </c>
      <c r="K58" s="101">
        <v>30</v>
      </c>
      <c r="L58" s="132"/>
      <c r="M58" s="105"/>
      <c r="N58" s="33">
        <f t="shared" si="28"/>
        <v>29.4285714285714</v>
      </c>
      <c r="O58" s="133">
        <v>2823.25</v>
      </c>
      <c r="P58" s="20"/>
      <c r="Q58" s="20"/>
      <c r="R58" s="20"/>
      <c r="S58" s="20"/>
      <c r="T58" s="20"/>
      <c r="U58" s="20"/>
      <c r="W58" s="2"/>
    </row>
    <row r="59" ht="15" hidden="1" customHeight="1" spans="2:25">
      <c r="B59" s="127">
        <f t="shared" si="29"/>
        <v>6</v>
      </c>
      <c r="C59" s="134" t="s">
        <v>243</v>
      </c>
      <c r="D59" s="101">
        <f t="shared" si="26"/>
        <v>3.83</v>
      </c>
      <c r="E59" s="129"/>
      <c r="F59" s="129"/>
      <c r="G59" s="130"/>
      <c r="H59" s="102">
        <f t="shared" si="27"/>
        <v>3.83</v>
      </c>
      <c r="I59" s="131" t="s">
        <v>49</v>
      </c>
      <c r="J59" s="35">
        <v>264</v>
      </c>
      <c r="K59" s="101">
        <v>145</v>
      </c>
      <c r="L59" s="132"/>
      <c r="M59" s="105"/>
      <c r="N59" s="33">
        <f t="shared" si="28"/>
        <v>142.238095238095</v>
      </c>
      <c r="O59" s="133">
        <v>2823.25</v>
      </c>
      <c r="P59" s="20"/>
      <c r="Q59" s="20"/>
      <c r="R59" s="20"/>
      <c r="S59" s="20"/>
      <c r="T59" s="20"/>
      <c r="U59" s="20"/>
      <c r="W59" s="2"/>
    </row>
    <row r="60" s="86" customFormat="1" ht="15" hidden="1" customHeight="1" spans="2:25">
      <c r="B60" s="96" t="s">
        <v>72</v>
      </c>
      <c r="C60" s="26" t="s">
        <v>90</v>
      </c>
      <c r="D60" s="27">
        <f t="shared" ref="D60:H60" si="30">SUM(D61:D64)</f>
        <v>294.03</v>
      </c>
      <c r="E60" s="27">
        <f t="shared" si="30"/>
        <v>0</v>
      </c>
      <c r="F60" s="27">
        <f t="shared" si="30"/>
        <v>0</v>
      </c>
      <c r="G60" s="27">
        <f t="shared" si="30"/>
        <v>0</v>
      </c>
      <c r="H60" s="27">
        <f t="shared" si="30"/>
        <v>294.03</v>
      </c>
      <c r="I60" s="28" t="s">
        <v>17</v>
      </c>
      <c r="J60" s="27">
        <f>J53</f>
        <v>1.6</v>
      </c>
      <c r="K60" s="29">
        <f>H60/J60*10000</f>
        <v>1837687.5</v>
      </c>
      <c r="L60" s="107"/>
      <c r="M60" s="97"/>
      <c r="N60" s="32"/>
      <c r="O60" s="32"/>
      <c r="P60" s="20"/>
      <c r="Q60" s="20"/>
      <c r="R60" s="20"/>
      <c r="S60" s="20"/>
      <c r="T60" s="20"/>
      <c r="U60" s="20"/>
      <c r="V60" s="6"/>
      <c r="W60" s="2"/>
      <c r="X60" s="146"/>
      <c r="Y60" s="146"/>
    </row>
    <row r="61" ht="15" customHeight="1" spans="2:25">
      <c r="B61" s="127">
        <v>1</v>
      </c>
      <c r="C61" s="134" t="s">
        <v>244</v>
      </c>
      <c r="D61" s="101">
        <f t="shared" ref="D61:D64" si="31">ROUND(J61*K61/10000,2)</f>
        <v>161.28</v>
      </c>
      <c r="E61" s="129"/>
      <c r="F61" s="129"/>
      <c r="G61" s="130"/>
      <c r="H61" s="102">
        <f t="shared" ref="H61:H64" si="32">SUM(D61:G61)</f>
        <v>161.28</v>
      </c>
      <c r="I61" s="131" t="s">
        <v>34</v>
      </c>
      <c r="J61" s="35">
        <v>1600</v>
      </c>
      <c r="K61" s="101">
        <v>1008</v>
      </c>
      <c r="L61" s="132"/>
      <c r="M61" s="105"/>
      <c r="N61" s="33">
        <f t="shared" ref="N61:N64" si="33">K61/1.05*1.03</f>
        <v>988.8</v>
      </c>
      <c r="O61" s="133">
        <v>2823.25</v>
      </c>
      <c r="P61" s="20"/>
      <c r="Q61" s="20"/>
      <c r="R61" s="20"/>
      <c r="S61" s="20"/>
      <c r="T61" s="20"/>
      <c r="U61" s="20"/>
      <c r="W61" s="2"/>
    </row>
    <row r="62" ht="15" customHeight="1" spans="2:25">
      <c r="B62" s="127">
        <f t="shared" ref="B62:B64" si="34">B61+1</f>
        <v>2</v>
      </c>
      <c r="C62" s="134" t="s">
        <v>245</v>
      </c>
      <c r="D62" s="101">
        <f t="shared" si="31"/>
        <v>55.12</v>
      </c>
      <c r="E62" s="129"/>
      <c r="F62" s="129"/>
      <c r="G62" s="130"/>
      <c r="H62" s="102">
        <f t="shared" si="32"/>
        <v>55.12</v>
      </c>
      <c r="I62" s="131" t="s">
        <v>34</v>
      </c>
      <c r="J62" s="35">
        <v>360</v>
      </c>
      <c r="K62" s="101">
        <v>1531</v>
      </c>
      <c r="L62" s="132"/>
      <c r="M62" s="105"/>
      <c r="N62" s="33">
        <f t="shared" si="33"/>
        <v>1501.8380952381</v>
      </c>
      <c r="O62" s="133">
        <v>2823.25</v>
      </c>
      <c r="P62" s="20"/>
      <c r="Q62" s="20"/>
      <c r="R62" s="20"/>
      <c r="S62" s="20"/>
      <c r="T62" s="20"/>
      <c r="U62" s="20"/>
      <c r="W62" s="2"/>
    </row>
    <row r="63" ht="15" hidden="1" customHeight="1" spans="2:25">
      <c r="B63" s="127">
        <f t="shared" si="34"/>
        <v>3</v>
      </c>
      <c r="C63" s="134" t="s">
        <v>246</v>
      </c>
      <c r="D63" s="101">
        <f t="shared" si="31"/>
        <v>47.88</v>
      </c>
      <c r="E63" s="129"/>
      <c r="F63" s="129"/>
      <c r="G63" s="130"/>
      <c r="H63" s="102">
        <f t="shared" si="32"/>
        <v>47.88</v>
      </c>
      <c r="I63" s="131" t="s">
        <v>119</v>
      </c>
      <c r="J63" s="35">
        <v>27</v>
      </c>
      <c r="K63" s="101">
        <v>17733</v>
      </c>
      <c r="L63" s="132"/>
      <c r="M63" s="105"/>
      <c r="N63" s="33">
        <f t="shared" si="33"/>
        <v>17395.2285714286</v>
      </c>
      <c r="O63" s="133">
        <v>2823.25</v>
      </c>
      <c r="P63" s="20"/>
      <c r="Q63" s="20"/>
      <c r="R63" s="20"/>
      <c r="S63" s="20"/>
      <c r="T63" s="20"/>
      <c r="U63" s="20"/>
      <c r="W63" s="2"/>
    </row>
    <row r="64" ht="15" hidden="1" customHeight="1" spans="2:25">
      <c r="B64" s="127">
        <f t="shared" si="34"/>
        <v>4</v>
      </c>
      <c r="C64" s="134" t="s">
        <v>247</v>
      </c>
      <c r="D64" s="101">
        <f t="shared" si="31"/>
        <v>29.75</v>
      </c>
      <c r="E64" s="129"/>
      <c r="F64" s="129"/>
      <c r="G64" s="130"/>
      <c r="H64" s="102">
        <f t="shared" si="32"/>
        <v>29.75</v>
      </c>
      <c r="I64" s="131" t="s">
        <v>119</v>
      </c>
      <c r="J64" s="35">
        <v>12</v>
      </c>
      <c r="K64" s="101">
        <v>24793</v>
      </c>
      <c r="L64" s="132"/>
      <c r="M64" s="105"/>
      <c r="N64" s="33">
        <f t="shared" si="33"/>
        <v>24320.7523809524</v>
      </c>
      <c r="O64" s="133">
        <v>2823.25</v>
      </c>
      <c r="P64" s="20"/>
      <c r="Q64" s="20"/>
      <c r="R64" s="20"/>
      <c r="S64" s="20"/>
      <c r="T64" s="20"/>
      <c r="U64" s="20"/>
      <c r="W64" s="2"/>
    </row>
    <row r="65" s="86" customFormat="1" ht="15" hidden="1" customHeight="1" spans="2:25">
      <c r="B65" s="96" t="s">
        <v>79</v>
      </c>
      <c r="C65" s="26" t="s">
        <v>248</v>
      </c>
      <c r="D65" s="27">
        <f t="shared" ref="D65:H65" si="35">SUM(D66:D75)</f>
        <v>287.93</v>
      </c>
      <c r="E65" s="27">
        <f t="shared" si="35"/>
        <v>0</v>
      </c>
      <c r="F65" s="27">
        <f t="shared" si="35"/>
        <v>0</v>
      </c>
      <c r="G65" s="27">
        <f t="shared" si="35"/>
        <v>0</v>
      </c>
      <c r="H65" s="27">
        <f t="shared" si="35"/>
        <v>287.93</v>
      </c>
      <c r="I65" s="28" t="s">
        <v>17</v>
      </c>
      <c r="J65" s="27">
        <f>J60</f>
        <v>1.6</v>
      </c>
      <c r="K65" s="29">
        <f>H65/J65*10000</f>
        <v>1799562.5</v>
      </c>
      <c r="L65" s="107"/>
      <c r="M65" s="97"/>
      <c r="N65" s="32"/>
      <c r="O65" s="32"/>
      <c r="P65" s="20"/>
      <c r="Q65" s="20"/>
      <c r="R65" s="20"/>
      <c r="S65" s="20"/>
      <c r="T65" s="20"/>
      <c r="U65" s="20"/>
      <c r="V65" s="6"/>
      <c r="W65" s="2"/>
      <c r="X65" s="146"/>
      <c r="Y65" s="146"/>
    </row>
    <row r="66" ht="15" hidden="1" customHeight="1" spans="2:25">
      <c r="B66" s="127">
        <v>1</v>
      </c>
      <c r="C66" s="134" t="s">
        <v>249</v>
      </c>
      <c r="D66" s="101">
        <f t="shared" ref="D66:D75" si="36">ROUND(J66*K66/10000,2)</f>
        <v>83.46</v>
      </c>
      <c r="E66" s="129"/>
      <c r="F66" s="129"/>
      <c r="G66" s="130"/>
      <c r="H66" s="102">
        <f t="shared" ref="H66:H75" si="37">SUM(D66:G66)</f>
        <v>83.46</v>
      </c>
      <c r="I66" s="131" t="s">
        <v>52</v>
      </c>
      <c r="J66" s="35">
        <v>102</v>
      </c>
      <c r="K66" s="101">
        <v>8182</v>
      </c>
      <c r="L66" s="132"/>
      <c r="M66" s="105"/>
      <c r="N66" s="33">
        <f t="shared" ref="N66:N75" si="38">K66/1.05*1.03</f>
        <v>8026.15238095238</v>
      </c>
      <c r="O66" s="133">
        <v>2823.25</v>
      </c>
      <c r="P66" s="20"/>
      <c r="Q66" s="20"/>
      <c r="R66" s="20"/>
      <c r="S66" s="20"/>
      <c r="T66" s="20"/>
      <c r="U66" s="20"/>
      <c r="W66" s="2"/>
    </row>
    <row r="67" ht="15" hidden="1" customHeight="1" spans="2:25">
      <c r="B67" s="127">
        <f t="shared" ref="B67:B75" si="39">B66+1</f>
        <v>2</v>
      </c>
      <c r="C67" s="134" t="s">
        <v>250</v>
      </c>
      <c r="D67" s="101">
        <f t="shared" si="36"/>
        <v>28.28</v>
      </c>
      <c r="E67" s="129"/>
      <c r="F67" s="129"/>
      <c r="G67" s="130"/>
      <c r="H67" s="102">
        <f t="shared" si="37"/>
        <v>28.28</v>
      </c>
      <c r="I67" s="131" t="s">
        <v>52</v>
      </c>
      <c r="J67" s="35">
        <v>12</v>
      </c>
      <c r="K67" s="101">
        <v>23564</v>
      </c>
      <c r="L67" s="132"/>
      <c r="M67" s="105"/>
      <c r="N67" s="33">
        <f t="shared" si="38"/>
        <v>23115.1619047619</v>
      </c>
      <c r="O67" s="133">
        <v>2823.25</v>
      </c>
      <c r="P67" s="20"/>
      <c r="Q67" s="20"/>
      <c r="R67" s="20"/>
      <c r="S67" s="20"/>
      <c r="T67" s="20"/>
      <c r="U67" s="20"/>
      <c r="W67" s="2"/>
    </row>
    <row r="68" ht="15" hidden="1" customHeight="1" spans="2:25">
      <c r="B68" s="127">
        <f t="shared" si="39"/>
        <v>3</v>
      </c>
      <c r="C68" s="134" t="s">
        <v>251</v>
      </c>
      <c r="D68" s="101">
        <f t="shared" si="36"/>
        <v>35.42</v>
      </c>
      <c r="E68" s="129"/>
      <c r="F68" s="129"/>
      <c r="G68" s="130"/>
      <c r="H68" s="102">
        <f t="shared" si="37"/>
        <v>35.42</v>
      </c>
      <c r="I68" s="131" t="s">
        <v>252</v>
      </c>
      <c r="J68" s="35">
        <v>2</v>
      </c>
      <c r="K68" s="101">
        <v>177091</v>
      </c>
      <c r="L68" s="132"/>
      <c r="M68" s="105"/>
      <c r="N68" s="33">
        <f t="shared" si="38"/>
        <v>173717.838095238</v>
      </c>
      <c r="O68" s="133">
        <v>2823.25</v>
      </c>
      <c r="P68" s="20"/>
      <c r="Q68" s="20"/>
      <c r="R68" s="20"/>
      <c r="S68" s="20"/>
      <c r="T68" s="20"/>
      <c r="U68" s="20"/>
      <c r="W68" s="2"/>
    </row>
    <row r="69" ht="15" hidden="1" customHeight="1" spans="2:25">
      <c r="B69" s="127">
        <f t="shared" si="39"/>
        <v>4</v>
      </c>
      <c r="C69" s="134" t="s">
        <v>253</v>
      </c>
      <c r="D69" s="101">
        <f t="shared" si="36"/>
        <v>9.75</v>
      </c>
      <c r="E69" s="129"/>
      <c r="F69" s="129"/>
      <c r="G69" s="130"/>
      <c r="H69" s="102">
        <f t="shared" si="37"/>
        <v>9.75</v>
      </c>
      <c r="I69" s="131" t="s">
        <v>252</v>
      </c>
      <c r="J69" s="35">
        <v>2</v>
      </c>
      <c r="K69" s="101">
        <v>48762</v>
      </c>
      <c r="L69" s="132"/>
      <c r="M69" s="105"/>
      <c r="N69" s="33">
        <f t="shared" si="38"/>
        <v>47833.2</v>
      </c>
      <c r="O69" s="133">
        <v>2823.25</v>
      </c>
      <c r="P69" s="20"/>
      <c r="Q69" s="20"/>
      <c r="R69" s="20"/>
      <c r="S69" s="20"/>
      <c r="T69" s="20"/>
      <c r="U69" s="20"/>
      <c r="W69" s="2"/>
    </row>
    <row r="70" ht="15" hidden="1" customHeight="1" spans="2:25">
      <c r="B70" s="127">
        <f t="shared" si="39"/>
        <v>5</v>
      </c>
      <c r="C70" s="134" t="s">
        <v>254</v>
      </c>
      <c r="D70" s="101">
        <f t="shared" si="36"/>
        <v>9.79</v>
      </c>
      <c r="E70" s="129"/>
      <c r="F70" s="129"/>
      <c r="G70" s="130"/>
      <c r="H70" s="102">
        <f t="shared" si="37"/>
        <v>9.79</v>
      </c>
      <c r="I70" s="131" t="s">
        <v>119</v>
      </c>
      <c r="J70" s="35">
        <v>45</v>
      </c>
      <c r="K70" s="101">
        <v>2176</v>
      </c>
      <c r="L70" s="132"/>
      <c r="M70" s="105"/>
      <c r="N70" s="33">
        <f t="shared" si="38"/>
        <v>2134.55238095238</v>
      </c>
      <c r="O70" s="133">
        <v>2823.25</v>
      </c>
      <c r="P70" s="20"/>
      <c r="Q70" s="20"/>
      <c r="R70" s="20"/>
      <c r="S70" s="20"/>
      <c r="T70" s="20"/>
      <c r="U70" s="20"/>
      <c r="W70" s="2"/>
    </row>
    <row r="71" ht="15" customHeight="1" spans="2:25">
      <c r="B71" s="127">
        <f t="shared" si="39"/>
        <v>6</v>
      </c>
      <c r="C71" s="134" t="s">
        <v>255</v>
      </c>
      <c r="D71" s="101">
        <f t="shared" si="36"/>
        <v>66.99</v>
      </c>
      <c r="E71" s="129"/>
      <c r="F71" s="129"/>
      <c r="G71" s="130"/>
      <c r="H71" s="102">
        <f t="shared" si="37"/>
        <v>66.99</v>
      </c>
      <c r="I71" s="131" t="s">
        <v>34</v>
      </c>
      <c r="J71" s="35">
        <v>3850</v>
      </c>
      <c r="K71" s="101">
        <v>174</v>
      </c>
      <c r="L71" s="132"/>
      <c r="M71" s="105"/>
      <c r="N71" s="33">
        <f t="shared" si="38"/>
        <v>170.685714285714</v>
      </c>
      <c r="O71" s="133">
        <v>2823.25</v>
      </c>
      <c r="P71" s="20"/>
      <c r="Q71" s="20"/>
      <c r="R71" s="20"/>
      <c r="S71" s="20"/>
      <c r="T71" s="20"/>
      <c r="U71" s="20"/>
      <c r="W71" s="2"/>
    </row>
    <row r="72" ht="15" customHeight="1" spans="2:25">
      <c r="B72" s="127">
        <f t="shared" si="39"/>
        <v>7</v>
      </c>
      <c r="C72" s="134" t="s">
        <v>256</v>
      </c>
      <c r="D72" s="101">
        <f t="shared" si="36"/>
        <v>40.6</v>
      </c>
      <c r="E72" s="129"/>
      <c r="F72" s="129"/>
      <c r="G72" s="130"/>
      <c r="H72" s="102">
        <f t="shared" si="37"/>
        <v>40.6</v>
      </c>
      <c r="I72" s="131" t="s">
        <v>34</v>
      </c>
      <c r="J72" s="35">
        <v>3500</v>
      </c>
      <c r="K72" s="101">
        <v>116</v>
      </c>
      <c r="L72" s="132"/>
      <c r="M72" s="105"/>
      <c r="N72" s="33">
        <f t="shared" si="38"/>
        <v>113.790476190476</v>
      </c>
      <c r="O72" s="133">
        <v>2823.25</v>
      </c>
      <c r="P72" s="20"/>
      <c r="Q72" s="20"/>
      <c r="R72" s="20"/>
      <c r="S72" s="20"/>
      <c r="T72" s="20"/>
      <c r="U72" s="20"/>
      <c r="W72" s="2"/>
    </row>
    <row r="73" ht="15" hidden="1" customHeight="1" spans="2:25">
      <c r="B73" s="127">
        <f t="shared" si="39"/>
        <v>8</v>
      </c>
      <c r="C73" s="134" t="s">
        <v>257</v>
      </c>
      <c r="D73" s="101">
        <f t="shared" si="36"/>
        <v>10.92</v>
      </c>
      <c r="E73" s="129"/>
      <c r="F73" s="129"/>
      <c r="G73" s="130"/>
      <c r="H73" s="102">
        <f t="shared" si="37"/>
        <v>10.92</v>
      </c>
      <c r="I73" s="131" t="s">
        <v>49</v>
      </c>
      <c r="J73" s="35">
        <v>700</v>
      </c>
      <c r="K73" s="101">
        <v>156</v>
      </c>
      <c r="L73" s="132"/>
      <c r="M73" s="105"/>
      <c r="N73" s="33">
        <f t="shared" si="38"/>
        <v>153.028571428571</v>
      </c>
      <c r="O73" s="133">
        <v>2823.25</v>
      </c>
      <c r="P73" s="20"/>
      <c r="Q73" s="20"/>
      <c r="R73" s="20"/>
      <c r="S73" s="20"/>
      <c r="T73" s="20"/>
      <c r="U73" s="20"/>
      <c r="W73" s="2"/>
    </row>
    <row r="74" ht="15" customHeight="1" spans="2:25">
      <c r="B74" s="127">
        <f t="shared" si="39"/>
        <v>9</v>
      </c>
      <c r="C74" s="134" t="s">
        <v>258</v>
      </c>
      <c r="D74" s="101">
        <f t="shared" si="36"/>
        <v>0.72</v>
      </c>
      <c r="E74" s="129"/>
      <c r="F74" s="129"/>
      <c r="G74" s="130"/>
      <c r="H74" s="102">
        <f t="shared" si="37"/>
        <v>0.72</v>
      </c>
      <c r="I74" s="131" t="s">
        <v>34</v>
      </c>
      <c r="J74" s="35">
        <v>240</v>
      </c>
      <c r="K74" s="101">
        <v>30</v>
      </c>
      <c r="L74" s="132"/>
      <c r="M74" s="105"/>
      <c r="N74" s="33">
        <f t="shared" si="38"/>
        <v>29.4285714285714</v>
      </c>
      <c r="O74" s="133">
        <v>2823.25</v>
      </c>
      <c r="P74" s="20"/>
      <c r="Q74" s="20"/>
      <c r="R74" s="20"/>
      <c r="S74" s="20"/>
      <c r="T74" s="20"/>
      <c r="U74" s="20"/>
      <c r="W74" s="2"/>
    </row>
    <row r="75" ht="15" hidden="1" customHeight="1" spans="2:25">
      <c r="B75" s="127">
        <f t="shared" si="39"/>
        <v>10</v>
      </c>
      <c r="C75" s="134" t="s">
        <v>243</v>
      </c>
      <c r="D75" s="101">
        <f t="shared" si="36"/>
        <v>2</v>
      </c>
      <c r="E75" s="129"/>
      <c r="F75" s="129"/>
      <c r="G75" s="130"/>
      <c r="H75" s="102">
        <f t="shared" si="37"/>
        <v>2</v>
      </c>
      <c r="I75" s="131" t="s">
        <v>49</v>
      </c>
      <c r="J75" s="35">
        <v>138</v>
      </c>
      <c r="K75" s="101">
        <v>145</v>
      </c>
      <c r="L75" s="132"/>
      <c r="M75" s="105"/>
      <c r="N75" s="33">
        <f t="shared" si="38"/>
        <v>142.238095238095</v>
      </c>
      <c r="O75" s="133">
        <v>2823.25</v>
      </c>
      <c r="P75" s="20"/>
      <c r="Q75" s="20"/>
      <c r="R75" s="20"/>
      <c r="S75" s="20"/>
      <c r="T75" s="20"/>
      <c r="U75" s="20"/>
      <c r="W75" s="2"/>
    </row>
    <row r="76" s="1" customFormat="1" ht="15" hidden="1" customHeight="1" spans="2:25">
      <c r="B76" s="96" t="s">
        <v>84</v>
      </c>
      <c r="C76" s="26" t="s">
        <v>259</v>
      </c>
      <c r="D76" s="27">
        <f t="shared" ref="D76:H76" si="40">SUM(D77:D85)</f>
        <v>193.07</v>
      </c>
      <c r="E76" s="27">
        <f t="shared" si="40"/>
        <v>0</v>
      </c>
      <c r="F76" s="27">
        <f t="shared" si="40"/>
        <v>0</v>
      </c>
      <c r="G76" s="27">
        <f t="shared" si="40"/>
        <v>0</v>
      </c>
      <c r="H76" s="27">
        <f t="shared" si="40"/>
        <v>193.07</v>
      </c>
      <c r="I76" s="28" t="s">
        <v>17</v>
      </c>
      <c r="J76" s="27">
        <f>J7</f>
        <v>1.6</v>
      </c>
      <c r="K76" s="29">
        <f>H76*10000/J76</f>
        <v>1206687.5</v>
      </c>
      <c r="L76" s="147"/>
      <c r="M76" s="148"/>
      <c r="N76" s="149"/>
      <c r="O76" s="149"/>
      <c r="P76" s="20"/>
      <c r="Q76" s="20"/>
      <c r="R76" s="20"/>
      <c r="S76" s="20"/>
      <c r="T76" s="20"/>
      <c r="U76" s="20"/>
      <c r="V76" s="34"/>
      <c r="W76" s="2"/>
      <c r="X76" s="34"/>
      <c r="Y76" s="34"/>
    </row>
    <row r="77" ht="15" customHeight="1" spans="2:25">
      <c r="B77" s="150">
        <v>1</v>
      </c>
      <c r="C77" s="100" t="s">
        <v>260</v>
      </c>
      <c r="D77" s="101">
        <f t="shared" ref="D77:D85" si="41">ROUND(J77*K77/10000,2)</f>
        <v>80</v>
      </c>
      <c r="E77" s="101"/>
      <c r="F77" s="21"/>
      <c r="G77" s="103"/>
      <c r="H77" s="102">
        <f t="shared" ref="H77:H85" si="42">SUM(D77:G77)</f>
        <v>80</v>
      </c>
      <c r="I77" s="103" t="s">
        <v>34</v>
      </c>
      <c r="J77" s="35">
        <f>1600</f>
        <v>1600</v>
      </c>
      <c r="K77" s="101">
        <f>500000/1000</f>
        <v>500</v>
      </c>
      <c r="L77" s="23"/>
      <c r="M77" s="151"/>
      <c r="N77" s="33">
        <f t="shared" ref="N77:N85" si="43">K77/1.05*1.03</f>
        <v>490.47619047619</v>
      </c>
      <c r="O77" s="152">
        <v>60</v>
      </c>
      <c r="P77" s="20"/>
      <c r="Q77" s="20"/>
      <c r="R77" s="20"/>
      <c r="S77" s="20"/>
      <c r="T77" s="20"/>
      <c r="U77" s="20"/>
      <c r="W77" s="2"/>
    </row>
    <row r="78" ht="15" hidden="1" customHeight="1" spans="2:25">
      <c r="B78" s="150">
        <v>2</v>
      </c>
      <c r="C78" s="100" t="s">
        <v>261</v>
      </c>
      <c r="D78" s="101">
        <f t="shared" si="41"/>
        <v>0</v>
      </c>
      <c r="E78" s="101"/>
      <c r="F78" s="21"/>
      <c r="G78" s="103"/>
      <c r="H78" s="102">
        <f t="shared" si="42"/>
        <v>0</v>
      </c>
      <c r="I78" s="103" t="s">
        <v>49</v>
      </c>
      <c r="J78" s="35">
        <f t="shared" ref="J78:J83" si="44">SUM(P78:T78)</f>
        <v>0</v>
      </c>
      <c r="K78" s="101">
        <v>66111.6094285714</v>
      </c>
      <c r="L78" s="23"/>
      <c r="M78" s="151"/>
      <c r="N78" s="33">
        <f t="shared" si="43"/>
        <v>64852.340677551</v>
      </c>
      <c r="O78" s="152">
        <v>67395.33</v>
      </c>
      <c r="P78" s="20"/>
      <c r="Q78" s="20"/>
      <c r="R78" s="20"/>
      <c r="S78" s="20"/>
      <c r="T78" s="20"/>
      <c r="U78" s="20"/>
      <c r="W78" s="2"/>
    </row>
    <row r="79" ht="15" hidden="1" customHeight="1" spans="2:25">
      <c r="B79" s="150">
        <v>3</v>
      </c>
      <c r="C79" s="100" t="s">
        <v>262</v>
      </c>
      <c r="D79" s="101">
        <f t="shared" si="41"/>
        <v>0</v>
      </c>
      <c r="E79" s="101"/>
      <c r="F79" s="21"/>
      <c r="G79" s="103"/>
      <c r="H79" s="102">
        <f t="shared" si="42"/>
        <v>0</v>
      </c>
      <c r="I79" s="103" t="s">
        <v>49</v>
      </c>
      <c r="J79" s="35">
        <f t="shared" si="44"/>
        <v>0</v>
      </c>
      <c r="K79" s="101">
        <v>18836.2476190476</v>
      </c>
      <c r="L79" s="23"/>
      <c r="M79" s="151"/>
      <c r="N79" s="33">
        <f t="shared" si="43"/>
        <v>18477.4619501134</v>
      </c>
      <c r="O79" s="152">
        <v>19202</v>
      </c>
      <c r="P79" s="20"/>
      <c r="Q79" s="20"/>
      <c r="R79" s="20"/>
      <c r="S79" s="20"/>
      <c r="T79" s="20"/>
      <c r="U79" s="20"/>
      <c r="W79" s="2"/>
    </row>
    <row r="80" ht="15" hidden="1" customHeight="1" spans="2:25">
      <c r="B80" s="150">
        <v>4</v>
      </c>
      <c r="C80" s="100" t="s">
        <v>263</v>
      </c>
      <c r="D80" s="101">
        <f t="shared" si="41"/>
        <v>0</v>
      </c>
      <c r="E80" s="101"/>
      <c r="F80" s="21"/>
      <c r="G80" s="103"/>
      <c r="H80" s="102">
        <f t="shared" si="42"/>
        <v>0</v>
      </c>
      <c r="I80" s="103" t="s">
        <v>49</v>
      </c>
      <c r="J80" s="35">
        <f t="shared" si="44"/>
        <v>0</v>
      </c>
      <c r="K80" s="101">
        <v>16667.3619047619</v>
      </c>
      <c r="L80" s="23"/>
      <c r="M80" s="151"/>
      <c r="N80" s="33">
        <f t="shared" si="43"/>
        <v>16349.8883446712</v>
      </c>
      <c r="O80" s="152">
        <v>16991</v>
      </c>
      <c r="P80" s="20"/>
      <c r="Q80" s="20"/>
      <c r="R80" s="20"/>
      <c r="S80" s="20"/>
      <c r="T80" s="20"/>
      <c r="U80" s="20"/>
      <c r="W80" s="2"/>
    </row>
    <row r="81" ht="15" hidden="1" customHeight="1" spans="2:25">
      <c r="B81" s="150">
        <v>5</v>
      </c>
      <c r="C81" s="100" t="s">
        <v>264</v>
      </c>
      <c r="D81" s="101">
        <f t="shared" si="41"/>
        <v>0</v>
      </c>
      <c r="E81" s="101"/>
      <c r="F81" s="21"/>
      <c r="G81" s="103"/>
      <c r="H81" s="102">
        <f t="shared" si="42"/>
        <v>0</v>
      </c>
      <c r="I81" s="103" t="s">
        <v>49</v>
      </c>
      <c r="J81" s="35">
        <f t="shared" si="44"/>
        <v>0</v>
      </c>
      <c r="K81" s="101">
        <v>5232.4</v>
      </c>
      <c r="L81" s="23"/>
      <c r="M81" s="151"/>
      <c r="N81" s="33">
        <f t="shared" si="43"/>
        <v>5132.73523809524</v>
      </c>
      <c r="O81" s="152">
        <v>5334</v>
      </c>
      <c r="P81" s="20"/>
      <c r="Q81" s="20"/>
      <c r="R81" s="20"/>
      <c r="S81" s="20"/>
      <c r="T81" s="20"/>
      <c r="U81" s="20"/>
      <c r="W81" s="2"/>
    </row>
    <row r="82" ht="15" hidden="1" customHeight="1" spans="2:25">
      <c r="B82" s="150">
        <v>6</v>
      </c>
      <c r="C82" s="100" t="s">
        <v>265</v>
      </c>
      <c r="D82" s="101">
        <f t="shared" si="41"/>
        <v>0</v>
      </c>
      <c r="E82" s="101"/>
      <c r="F82" s="21"/>
      <c r="G82" s="103"/>
      <c r="H82" s="102">
        <f t="shared" si="42"/>
        <v>0</v>
      </c>
      <c r="I82" s="103" t="s">
        <v>49</v>
      </c>
      <c r="J82" s="35">
        <f t="shared" si="44"/>
        <v>0</v>
      </c>
      <c r="K82" s="101">
        <v>1422.62619047619</v>
      </c>
      <c r="L82" s="23"/>
      <c r="M82" s="151"/>
      <c r="N82" s="33">
        <f t="shared" si="43"/>
        <v>1395.52854875283</v>
      </c>
      <c r="O82" s="152">
        <v>1450.25</v>
      </c>
      <c r="P82" s="20"/>
      <c r="Q82" s="20"/>
      <c r="R82" s="20"/>
      <c r="S82" s="20"/>
      <c r="T82" s="20"/>
      <c r="U82" s="20"/>
      <c r="W82" s="2"/>
    </row>
    <row r="83" ht="15" hidden="1" customHeight="1" spans="2:25">
      <c r="B83" s="150">
        <v>7</v>
      </c>
      <c r="C83" s="40" t="s">
        <v>266</v>
      </c>
      <c r="D83" s="101">
        <f t="shared" si="41"/>
        <v>0</v>
      </c>
      <c r="E83" s="101"/>
      <c r="F83" s="35"/>
      <c r="G83" s="102"/>
      <c r="H83" s="102">
        <f t="shared" si="42"/>
        <v>0</v>
      </c>
      <c r="I83" s="103" t="s">
        <v>49</v>
      </c>
      <c r="J83" s="35">
        <f t="shared" si="44"/>
        <v>0</v>
      </c>
      <c r="K83" s="101">
        <v>1906.97142857143</v>
      </c>
      <c r="L83" s="153"/>
      <c r="M83" s="105"/>
      <c r="N83" s="33">
        <f t="shared" si="43"/>
        <v>1870.64816326531</v>
      </c>
      <c r="O83" s="133">
        <v>1944</v>
      </c>
      <c r="P83" s="20"/>
      <c r="Q83" s="20"/>
      <c r="R83" s="20"/>
      <c r="S83" s="20"/>
      <c r="T83" s="20"/>
      <c r="U83" s="20"/>
      <c r="W83" s="2"/>
    </row>
    <row r="84" ht="15" customHeight="1" spans="2:25">
      <c r="B84" s="150">
        <v>8</v>
      </c>
      <c r="C84" s="40" t="s">
        <v>267</v>
      </c>
      <c r="D84" s="101">
        <f t="shared" si="41"/>
        <v>61.92</v>
      </c>
      <c r="E84" s="101"/>
      <c r="F84" s="35"/>
      <c r="G84" s="102"/>
      <c r="H84" s="102">
        <f t="shared" si="42"/>
        <v>61.92</v>
      </c>
      <c r="I84" s="103" t="s">
        <v>34</v>
      </c>
      <c r="J84" s="35">
        <v>1600</v>
      </c>
      <c r="K84" s="101">
        <v>387</v>
      </c>
      <c r="L84" s="153"/>
      <c r="M84" s="105"/>
      <c r="N84" s="33">
        <f t="shared" si="43"/>
        <v>379.628571428571</v>
      </c>
      <c r="O84" s="133">
        <v>283.16</v>
      </c>
      <c r="P84" s="20"/>
      <c r="Q84" s="20"/>
      <c r="R84" s="20"/>
      <c r="S84" s="20"/>
      <c r="T84" s="20"/>
      <c r="U84" s="20"/>
      <c r="W84" s="2"/>
    </row>
    <row r="85" ht="15" customHeight="1" spans="2:25">
      <c r="B85" s="150">
        <v>9</v>
      </c>
      <c r="C85" s="40" t="s">
        <v>268</v>
      </c>
      <c r="D85" s="101">
        <f t="shared" si="41"/>
        <v>51.15</v>
      </c>
      <c r="E85" s="101"/>
      <c r="F85" s="35"/>
      <c r="G85" s="102"/>
      <c r="H85" s="102">
        <f t="shared" si="42"/>
        <v>51.15</v>
      </c>
      <c r="I85" s="103" t="s">
        <v>34</v>
      </c>
      <c r="J85" s="35">
        <v>1650</v>
      </c>
      <c r="K85" s="101">
        <v>310</v>
      </c>
      <c r="L85" s="153"/>
      <c r="M85" s="105"/>
      <c r="N85" s="33">
        <f t="shared" si="43"/>
        <v>304.095238095238</v>
      </c>
      <c r="O85" s="133">
        <v>283.16</v>
      </c>
      <c r="P85" s="20"/>
      <c r="Q85" s="20"/>
      <c r="R85" s="20"/>
      <c r="S85" s="20"/>
      <c r="T85" s="20"/>
      <c r="U85" s="20"/>
      <c r="W85" s="2"/>
    </row>
    <row r="86" ht="15" hidden="1" customHeight="1" spans="2:25">
      <c r="B86" s="154" t="s">
        <v>89</v>
      </c>
      <c r="C86" s="155" t="s">
        <v>269</v>
      </c>
      <c r="D86" s="45">
        <f t="shared" ref="D86:H86" si="45">SUM(D87:D87)</f>
        <v>0</v>
      </c>
      <c r="E86" s="45">
        <f t="shared" si="45"/>
        <v>0</v>
      </c>
      <c r="F86" s="45">
        <f t="shared" si="45"/>
        <v>0</v>
      </c>
      <c r="G86" s="45">
        <f t="shared" si="45"/>
        <v>0</v>
      </c>
      <c r="H86" s="45">
        <f t="shared" si="45"/>
        <v>0</v>
      </c>
      <c r="I86" s="28" t="s">
        <v>17</v>
      </c>
      <c r="J86" s="28">
        <f>J7</f>
        <v>1.6</v>
      </c>
      <c r="K86" s="29">
        <f>H86*10000/J86</f>
        <v>0</v>
      </c>
      <c r="L86" s="107"/>
      <c r="M86" s="105"/>
      <c r="N86" s="33"/>
      <c r="O86" s="33"/>
      <c r="P86" s="20"/>
      <c r="Q86" s="20"/>
      <c r="R86" s="20"/>
      <c r="S86" s="20"/>
      <c r="T86" s="20"/>
      <c r="U86" s="20"/>
      <c r="V86" s="20"/>
      <c r="W86" s="2"/>
    </row>
    <row r="87" ht="15" hidden="1" customHeight="1" spans="2:25">
      <c r="B87" s="150">
        <v>1</v>
      </c>
      <c r="C87" s="156" t="s">
        <v>269</v>
      </c>
      <c r="D87" s="45"/>
      <c r="E87" s="101">
        <f>ROUND(J87*K87/10000,2)</f>
        <v>0</v>
      </c>
      <c r="F87" s="21"/>
      <c r="G87" s="103"/>
      <c r="H87" s="102">
        <f t="shared" ref="H87:H91" si="46">SUM(D87:G87)</f>
        <v>0</v>
      </c>
      <c r="I87" s="35" t="s">
        <v>49</v>
      </c>
      <c r="J87" s="35">
        <v>0</v>
      </c>
      <c r="K87" s="101">
        <v>490476.19047619</v>
      </c>
      <c r="L87" s="107"/>
      <c r="M87" s="105"/>
      <c r="N87" s="33">
        <f t="shared" ref="N87:N91" si="47">K87/1.05*1.03</f>
        <v>481133.786848072</v>
      </c>
      <c r="O87" s="133">
        <v>500000</v>
      </c>
      <c r="P87" s="20"/>
      <c r="Q87" s="20"/>
      <c r="R87" s="20"/>
      <c r="S87" s="20"/>
      <c r="T87" s="20"/>
      <c r="U87" s="20"/>
      <c r="V87" s="20"/>
      <c r="W87" s="2"/>
    </row>
    <row r="88" ht="15" hidden="1" customHeight="1" spans="2:25">
      <c r="B88" s="96">
        <v>1.2</v>
      </c>
      <c r="C88" s="26" t="s">
        <v>178</v>
      </c>
      <c r="D88" s="27">
        <f t="shared" ref="D88:H88" si="48">D89+D92+D114+D122+D131+D160+D170+D137+D144+D149</f>
        <v>3817.77</v>
      </c>
      <c r="E88" s="27">
        <f t="shared" si="48"/>
        <v>0</v>
      </c>
      <c r="F88" s="27">
        <f t="shared" si="48"/>
        <v>0</v>
      </c>
      <c r="G88" s="27">
        <f t="shared" si="48"/>
        <v>0</v>
      </c>
      <c r="H88" s="27">
        <f t="shared" si="48"/>
        <v>3817.77</v>
      </c>
      <c r="I88" s="28" t="s">
        <v>17</v>
      </c>
      <c r="J88" s="27">
        <f>Q2</f>
        <v>0.785</v>
      </c>
      <c r="K88" s="29">
        <f>H88/J88*10000</f>
        <v>48634012.7388535</v>
      </c>
      <c r="L88" s="30"/>
      <c r="M88" s="97"/>
      <c r="N88" s="32"/>
      <c r="O88" s="32"/>
      <c r="P88" s="20"/>
      <c r="Q88" s="20"/>
      <c r="R88" s="20"/>
      <c r="S88" s="20"/>
      <c r="T88" s="20"/>
      <c r="U88" s="20"/>
      <c r="V88" s="34"/>
      <c r="W88" s="2"/>
    </row>
    <row r="89" ht="15" hidden="1" customHeight="1" spans="2:25">
      <c r="B89" s="96" t="s">
        <v>19</v>
      </c>
      <c r="C89" s="26" t="s">
        <v>20</v>
      </c>
      <c r="D89" s="27">
        <f>SUM(D90:D91)</f>
        <v>30.49</v>
      </c>
      <c r="E89" s="27">
        <f t="shared" ref="E89:G89" si="49">SUM(E90:E98)</f>
        <v>0</v>
      </c>
      <c r="F89" s="27">
        <f t="shared" si="49"/>
        <v>0</v>
      </c>
      <c r="G89" s="27">
        <f t="shared" si="49"/>
        <v>0</v>
      </c>
      <c r="H89" s="27">
        <f>SUM(H90:H91)</f>
        <v>30.49</v>
      </c>
      <c r="I89" s="28" t="s">
        <v>17</v>
      </c>
      <c r="J89" s="27">
        <f>J88</f>
        <v>0.785</v>
      </c>
      <c r="K89" s="29">
        <f>H89/J89*10000</f>
        <v>388407.643312102</v>
      </c>
      <c r="L89" s="98"/>
      <c r="M89" s="97"/>
      <c r="N89" s="32"/>
      <c r="O89" s="32"/>
      <c r="P89" s="20"/>
      <c r="Q89" s="20"/>
      <c r="R89" s="20"/>
      <c r="S89" s="20"/>
      <c r="T89" s="20"/>
      <c r="U89" s="20"/>
      <c r="V89" s="20"/>
      <c r="W89" s="2"/>
    </row>
    <row r="90" ht="15" hidden="1" customHeight="1" spans="2:25">
      <c r="B90" s="99">
        <v>1</v>
      </c>
      <c r="C90" s="100" t="s">
        <v>197</v>
      </c>
      <c r="D90" s="101">
        <f t="shared" ref="D90:D113" si="50">ROUND(J90*K90/10000,2)</f>
        <v>29.51</v>
      </c>
      <c r="E90" s="35"/>
      <c r="F90" s="35"/>
      <c r="G90" s="102"/>
      <c r="H90" s="102">
        <f t="shared" si="46"/>
        <v>29.51</v>
      </c>
      <c r="I90" s="103" t="s">
        <v>22</v>
      </c>
      <c r="J90" s="35">
        <f>4537*0.3+17191*0.32</f>
        <v>6862.22</v>
      </c>
      <c r="K90" s="101">
        <v>43</v>
      </c>
      <c r="L90" s="104"/>
      <c r="M90" s="105"/>
      <c r="N90" s="33">
        <f t="shared" si="47"/>
        <v>42.1809523809524</v>
      </c>
      <c r="O90" s="106">
        <v>14.05</v>
      </c>
      <c r="P90" s="20"/>
      <c r="Q90" s="20"/>
      <c r="R90" s="20"/>
      <c r="S90" s="20"/>
      <c r="T90" s="20"/>
      <c r="U90" s="20"/>
      <c r="W90" s="2"/>
    </row>
    <row r="91" ht="15" hidden="1" customHeight="1" spans="2:25">
      <c r="B91" s="99">
        <v>2</v>
      </c>
      <c r="C91" s="100" t="s">
        <v>198</v>
      </c>
      <c r="D91" s="101">
        <f t="shared" si="50"/>
        <v>0.98</v>
      </c>
      <c r="E91" s="21"/>
      <c r="F91" s="21"/>
      <c r="G91" s="103"/>
      <c r="H91" s="102">
        <f t="shared" si="46"/>
        <v>0.98</v>
      </c>
      <c r="I91" s="103" t="s">
        <v>27</v>
      </c>
      <c r="J91" s="35">
        <v>9781</v>
      </c>
      <c r="K91" s="101">
        <v>1</v>
      </c>
      <c r="L91" s="18"/>
      <c r="M91" s="105"/>
      <c r="N91" s="33">
        <f t="shared" si="47"/>
        <v>0.980952380952381</v>
      </c>
      <c r="O91" s="106">
        <v>14.67</v>
      </c>
      <c r="P91" s="20"/>
      <c r="Q91" s="20"/>
      <c r="R91" s="20"/>
      <c r="S91" s="20"/>
      <c r="T91" s="20"/>
      <c r="U91" s="20"/>
      <c r="W91" s="2"/>
    </row>
    <row r="92" ht="15" hidden="1" customHeight="1" spans="2:25">
      <c r="B92" s="96" t="s">
        <v>39</v>
      </c>
      <c r="C92" s="26" t="s">
        <v>40</v>
      </c>
      <c r="D92" s="27">
        <f>SUM(D93:D113)</f>
        <v>1407.48</v>
      </c>
      <c r="E92" s="27">
        <f t="shared" ref="E92:G92" si="51">SUM(E93:E101)</f>
        <v>0</v>
      </c>
      <c r="F92" s="27">
        <f t="shared" si="51"/>
        <v>0</v>
      </c>
      <c r="G92" s="27">
        <f t="shared" si="51"/>
        <v>0</v>
      </c>
      <c r="H92" s="27">
        <f>SUM(H93:H113)</f>
        <v>1407.48</v>
      </c>
      <c r="I92" s="28" t="s">
        <v>27</v>
      </c>
      <c r="J92" s="27">
        <f>J98+J108</f>
        <v>20618</v>
      </c>
      <c r="K92" s="29">
        <f>H92*10000/J92</f>
        <v>682.646231448249</v>
      </c>
      <c r="L92" s="107"/>
      <c r="M92" s="97"/>
      <c r="N92" s="32"/>
      <c r="O92" s="32"/>
      <c r="P92" s="20"/>
      <c r="Q92" s="20"/>
      <c r="R92" s="20"/>
      <c r="S92" s="20"/>
      <c r="T92" s="20"/>
      <c r="U92" s="20"/>
      <c r="V92" s="34"/>
      <c r="W92" s="2"/>
    </row>
    <row r="93" s="83" customFormat="1" ht="15" hidden="1" customHeight="1" spans="2:25">
      <c r="B93" s="108">
        <v>1</v>
      </c>
      <c r="C93" s="109" t="s">
        <v>199</v>
      </c>
      <c r="D93" s="110">
        <f t="shared" si="50"/>
        <v>90.64</v>
      </c>
      <c r="E93" s="111"/>
      <c r="F93" s="111"/>
      <c r="G93" s="112"/>
      <c r="H93" s="113">
        <f t="shared" ref="H93:H113" si="52">SUM(D93:G93)</f>
        <v>90.64</v>
      </c>
      <c r="I93" s="112" t="s">
        <v>27</v>
      </c>
      <c r="J93" s="114">
        <v>14619</v>
      </c>
      <c r="K93" s="110">
        <v>62</v>
      </c>
      <c r="L93" s="115"/>
      <c r="M93" s="116"/>
      <c r="N93" s="117">
        <f t="shared" ref="N93:N113" si="53">K93/1.05*1.03</f>
        <v>60.8190476190476</v>
      </c>
      <c r="O93" s="118">
        <v>47.411</v>
      </c>
      <c r="P93" s="119">
        <f>J93*0.62</f>
        <v>9063.78</v>
      </c>
      <c r="Q93" s="119"/>
      <c r="R93" s="119"/>
      <c r="S93" s="119"/>
      <c r="T93" s="119"/>
      <c r="U93" s="119"/>
      <c r="V93" s="120"/>
      <c r="X93" s="120"/>
      <c r="Y93" s="120"/>
    </row>
    <row r="94" s="83" customFormat="1" ht="15" hidden="1" customHeight="1" spans="2:25">
      <c r="B94" s="121">
        <f t="shared" ref="B94:B113" si="54">B93+1</f>
        <v>2</v>
      </c>
      <c r="C94" s="122" t="s">
        <v>200</v>
      </c>
      <c r="D94" s="110">
        <f t="shared" si="50"/>
        <v>13.61</v>
      </c>
      <c r="E94" s="123"/>
      <c r="F94" s="123"/>
      <c r="G94" s="124"/>
      <c r="H94" s="113">
        <f t="shared" si="52"/>
        <v>13.61</v>
      </c>
      <c r="I94" s="125" t="s">
        <v>27</v>
      </c>
      <c r="J94" s="114">
        <v>4537</v>
      </c>
      <c r="K94" s="110">
        <v>30</v>
      </c>
      <c r="L94" s="126"/>
      <c r="M94" s="116"/>
      <c r="N94" s="117">
        <f t="shared" si="53"/>
        <v>29.4285714285714</v>
      </c>
      <c r="O94" s="118">
        <v>83.38</v>
      </c>
      <c r="P94" s="119">
        <f>J94*0.36</f>
        <v>1633.32</v>
      </c>
      <c r="Q94" s="119"/>
      <c r="R94" s="119"/>
      <c r="S94" s="119"/>
      <c r="T94" s="119"/>
      <c r="U94" s="119"/>
      <c r="V94" s="120"/>
      <c r="X94" s="120"/>
      <c r="Y94" s="120"/>
    </row>
    <row r="95" ht="15" customHeight="1" spans="2:25">
      <c r="B95" s="127">
        <f t="shared" si="54"/>
        <v>3</v>
      </c>
      <c r="C95" s="128" t="s">
        <v>201</v>
      </c>
      <c r="D95" s="101">
        <f t="shared" si="50"/>
        <v>2.12</v>
      </c>
      <c r="E95" s="129"/>
      <c r="F95" s="129"/>
      <c r="G95" s="130"/>
      <c r="H95" s="102">
        <f t="shared" si="52"/>
        <v>2.12</v>
      </c>
      <c r="I95" s="131" t="s">
        <v>34</v>
      </c>
      <c r="J95" s="35">
        <v>1630</v>
      </c>
      <c r="K95" s="101">
        <v>13</v>
      </c>
      <c r="L95" s="132"/>
      <c r="M95" s="105"/>
      <c r="N95" s="33">
        <f t="shared" si="53"/>
        <v>12.752380952381</v>
      </c>
      <c r="O95" s="133">
        <v>78.762</v>
      </c>
      <c r="P95" s="20"/>
      <c r="Q95" s="20"/>
      <c r="R95" s="20"/>
      <c r="S95" s="20"/>
      <c r="T95" s="20"/>
      <c r="U95" s="20"/>
      <c r="W95" s="2"/>
    </row>
    <row r="96" ht="15" customHeight="1" spans="2:25">
      <c r="B96" s="127">
        <f t="shared" si="54"/>
        <v>4</v>
      </c>
      <c r="C96" s="128" t="s">
        <v>202</v>
      </c>
      <c r="D96" s="101">
        <f t="shared" si="50"/>
        <v>1.22</v>
      </c>
      <c r="E96" s="129"/>
      <c r="F96" s="129"/>
      <c r="G96" s="130"/>
      <c r="H96" s="102">
        <f t="shared" si="52"/>
        <v>1.22</v>
      </c>
      <c r="I96" s="131" t="s">
        <v>34</v>
      </c>
      <c r="J96" s="35">
        <v>1531</v>
      </c>
      <c r="K96" s="101">
        <v>8</v>
      </c>
      <c r="L96" s="132"/>
      <c r="M96" s="105"/>
      <c r="N96" s="33">
        <f t="shared" si="53"/>
        <v>7.84761904761905</v>
      </c>
      <c r="O96" s="133">
        <v>3.434</v>
      </c>
      <c r="P96" s="20"/>
      <c r="Q96" s="20"/>
      <c r="R96" s="20"/>
      <c r="S96" s="20"/>
      <c r="T96" s="20"/>
      <c r="U96" s="20"/>
      <c r="W96" s="2"/>
    </row>
    <row r="97" ht="15" customHeight="1" spans="2:23">
      <c r="B97" s="127">
        <f t="shared" si="54"/>
        <v>5</v>
      </c>
      <c r="C97" s="128" t="s">
        <v>203</v>
      </c>
      <c r="D97" s="101">
        <f t="shared" si="50"/>
        <v>34.04</v>
      </c>
      <c r="E97" s="129"/>
      <c r="F97" s="129"/>
      <c r="G97" s="130"/>
      <c r="H97" s="102">
        <f t="shared" si="52"/>
        <v>34.04</v>
      </c>
      <c r="I97" s="131" t="s">
        <v>34</v>
      </c>
      <c r="J97" s="35">
        <v>1480</v>
      </c>
      <c r="K97" s="101">
        <v>230</v>
      </c>
      <c r="L97" s="132"/>
      <c r="M97" s="105"/>
      <c r="N97" s="33">
        <f t="shared" si="53"/>
        <v>225.619047619048</v>
      </c>
      <c r="O97" s="133">
        <v>21.646</v>
      </c>
      <c r="P97" s="20"/>
      <c r="Q97" s="20"/>
      <c r="R97" s="20"/>
      <c r="S97" s="20"/>
      <c r="T97" s="20"/>
      <c r="U97" s="20"/>
      <c r="W97" s="2"/>
    </row>
    <row r="98" ht="15" hidden="1" customHeight="1" spans="2:23">
      <c r="B98" s="127">
        <f t="shared" si="54"/>
        <v>6</v>
      </c>
      <c r="C98" s="128" t="s">
        <v>204</v>
      </c>
      <c r="D98" s="101">
        <f t="shared" si="50"/>
        <v>168.85</v>
      </c>
      <c r="E98" s="129"/>
      <c r="F98" s="129"/>
      <c r="G98" s="130"/>
      <c r="H98" s="102">
        <f t="shared" si="52"/>
        <v>168.85</v>
      </c>
      <c r="I98" s="131" t="s">
        <v>27</v>
      </c>
      <c r="J98" s="35">
        <v>16081</v>
      </c>
      <c r="K98" s="101">
        <v>105</v>
      </c>
      <c r="L98" s="132"/>
      <c r="M98" s="105"/>
      <c r="N98" s="33">
        <f t="shared" si="53"/>
        <v>103</v>
      </c>
      <c r="O98" s="133">
        <v>6.15</v>
      </c>
      <c r="P98" s="20"/>
      <c r="Q98" s="20"/>
      <c r="R98" s="20"/>
      <c r="S98" s="20"/>
      <c r="T98" s="20"/>
      <c r="U98" s="20"/>
      <c r="W98" s="2"/>
    </row>
    <row r="99" ht="15" hidden="1" customHeight="1" spans="2:23">
      <c r="B99" s="127">
        <f t="shared" si="54"/>
        <v>7</v>
      </c>
      <c r="C99" s="128" t="s">
        <v>205</v>
      </c>
      <c r="D99" s="101">
        <f t="shared" si="50"/>
        <v>0</v>
      </c>
      <c r="E99" s="129"/>
      <c r="F99" s="129"/>
      <c r="G99" s="130"/>
      <c r="H99" s="102">
        <f t="shared" si="52"/>
        <v>0</v>
      </c>
      <c r="I99" s="131" t="s">
        <v>27</v>
      </c>
      <c r="J99" s="35">
        <v>0</v>
      </c>
      <c r="K99" s="101">
        <v>98</v>
      </c>
      <c r="L99" s="132"/>
      <c r="M99" s="105"/>
      <c r="N99" s="33">
        <f t="shared" si="53"/>
        <v>96.1333333333333</v>
      </c>
      <c r="O99" s="133">
        <v>99.778</v>
      </c>
      <c r="P99" s="20"/>
      <c r="Q99" s="20"/>
      <c r="R99" s="20"/>
      <c r="S99" s="20"/>
      <c r="T99" s="20"/>
      <c r="U99" s="20"/>
      <c r="W99" s="2"/>
    </row>
    <row r="100" ht="15" hidden="1" customHeight="1" spans="2:23">
      <c r="B100" s="127">
        <f t="shared" si="54"/>
        <v>8</v>
      </c>
      <c r="C100" s="128" t="s">
        <v>206</v>
      </c>
      <c r="D100" s="101">
        <f t="shared" si="50"/>
        <v>207.44</v>
      </c>
      <c r="E100" s="129"/>
      <c r="F100" s="129"/>
      <c r="G100" s="130"/>
      <c r="H100" s="102">
        <f t="shared" si="52"/>
        <v>207.44</v>
      </c>
      <c r="I100" s="131" t="s">
        <v>27</v>
      </c>
      <c r="J100" s="35">
        <v>16081</v>
      </c>
      <c r="K100" s="101">
        <v>129</v>
      </c>
      <c r="L100" s="132"/>
      <c r="M100" s="105"/>
      <c r="N100" s="33">
        <f t="shared" si="53"/>
        <v>126.542857142857</v>
      </c>
      <c r="O100" s="133">
        <v>95.083</v>
      </c>
      <c r="P100" s="20"/>
      <c r="Q100" s="20"/>
      <c r="R100" s="20"/>
      <c r="S100" s="20"/>
      <c r="T100" s="20"/>
      <c r="U100" s="20"/>
      <c r="W100" s="2"/>
    </row>
    <row r="101" ht="15" hidden="1" customHeight="1" spans="2:23">
      <c r="B101" s="127">
        <f t="shared" si="54"/>
        <v>9</v>
      </c>
      <c r="C101" s="128" t="s">
        <v>207</v>
      </c>
      <c r="D101" s="101">
        <f t="shared" si="50"/>
        <v>212.27</v>
      </c>
      <c r="E101" s="129"/>
      <c r="F101" s="129"/>
      <c r="G101" s="130"/>
      <c r="H101" s="102">
        <f t="shared" si="52"/>
        <v>212.27</v>
      </c>
      <c r="I101" s="131" t="s">
        <v>27</v>
      </c>
      <c r="J101" s="35">
        <v>16081</v>
      </c>
      <c r="K101" s="101">
        <v>132</v>
      </c>
      <c r="L101" s="132"/>
      <c r="M101" s="105"/>
      <c r="N101" s="33">
        <f t="shared" si="53"/>
        <v>129.485714285714</v>
      </c>
      <c r="O101" s="133">
        <v>37.543</v>
      </c>
      <c r="P101" s="20"/>
      <c r="Q101" s="20"/>
      <c r="R101" s="20"/>
      <c r="S101" s="20"/>
      <c r="T101" s="20"/>
      <c r="U101" s="20"/>
      <c r="W101" s="2"/>
    </row>
    <row r="102" ht="15" hidden="1" customHeight="1" spans="2:23">
      <c r="B102" s="127">
        <f t="shared" si="54"/>
        <v>10</v>
      </c>
      <c r="C102" s="128" t="s">
        <v>208</v>
      </c>
      <c r="D102" s="101">
        <f t="shared" si="50"/>
        <v>35.38</v>
      </c>
      <c r="E102" s="129"/>
      <c r="F102" s="129"/>
      <c r="G102" s="130"/>
      <c r="H102" s="102">
        <f t="shared" si="52"/>
        <v>35.38</v>
      </c>
      <c r="I102" s="131" t="s">
        <v>27</v>
      </c>
      <c r="J102" s="35">
        <v>16081</v>
      </c>
      <c r="K102" s="101">
        <v>22</v>
      </c>
      <c r="L102" s="132"/>
      <c r="M102" s="105"/>
      <c r="N102" s="33">
        <f t="shared" si="53"/>
        <v>21.5809523809524</v>
      </c>
      <c r="O102" s="133">
        <v>136.246</v>
      </c>
      <c r="P102" s="20"/>
      <c r="Q102" s="20"/>
      <c r="R102" s="20"/>
      <c r="S102" s="20"/>
      <c r="T102" s="20"/>
      <c r="U102" s="20"/>
      <c r="W102" s="2"/>
    </row>
    <row r="103" ht="15" hidden="1" customHeight="1" spans="2:23">
      <c r="B103" s="127">
        <f t="shared" si="54"/>
        <v>11</v>
      </c>
      <c r="C103" s="128" t="s">
        <v>209</v>
      </c>
      <c r="D103" s="101">
        <f t="shared" si="50"/>
        <v>168.85</v>
      </c>
      <c r="E103" s="129"/>
      <c r="F103" s="129"/>
      <c r="G103" s="130"/>
      <c r="H103" s="102">
        <f t="shared" si="52"/>
        <v>168.85</v>
      </c>
      <c r="I103" s="131" t="s">
        <v>27</v>
      </c>
      <c r="J103" s="35">
        <v>16081</v>
      </c>
      <c r="K103" s="101">
        <v>105</v>
      </c>
      <c r="L103" s="132"/>
      <c r="M103" s="105"/>
      <c r="N103" s="33">
        <f t="shared" si="53"/>
        <v>103</v>
      </c>
      <c r="O103" s="133">
        <v>99.778</v>
      </c>
      <c r="P103" s="20"/>
      <c r="Q103" s="20"/>
      <c r="R103" s="20"/>
      <c r="S103" s="20"/>
      <c r="T103" s="20"/>
      <c r="U103" s="20"/>
      <c r="W103" s="2"/>
    </row>
    <row r="104" ht="15" hidden="1" customHeight="1" spans="2:23">
      <c r="B104" s="127">
        <f t="shared" si="54"/>
        <v>12</v>
      </c>
      <c r="C104" s="128" t="s">
        <v>210</v>
      </c>
      <c r="D104" s="101">
        <f t="shared" si="50"/>
        <v>165.06</v>
      </c>
      <c r="E104" s="129"/>
      <c r="F104" s="129"/>
      <c r="G104" s="130"/>
      <c r="H104" s="102">
        <f t="shared" si="52"/>
        <v>165.06</v>
      </c>
      <c r="I104" s="131" t="s">
        <v>27</v>
      </c>
      <c r="J104" s="35">
        <v>16673</v>
      </c>
      <c r="K104" s="101">
        <v>99</v>
      </c>
      <c r="L104" s="132"/>
      <c r="M104" s="105"/>
      <c r="N104" s="33">
        <f t="shared" si="53"/>
        <v>97.1142857142857</v>
      </c>
      <c r="O104" s="133">
        <v>49.107</v>
      </c>
      <c r="P104" s="20"/>
      <c r="Q104" s="20"/>
      <c r="R104" s="20"/>
      <c r="S104" s="20"/>
      <c r="T104" s="20"/>
      <c r="U104" s="20"/>
      <c r="W104" s="2"/>
    </row>
    <row r="105" ht="15" hidden="1" customHeight="1" spans="2:23">
      <c r="B105" s="127">
        <f t="shared" si="54"/>
        <v>13</v>
      </c>
      <c r="C105" s="128" t="s">
        <v>211</v>
      </c>
      <c r="D105" s="101">
        <f t="shared" si="50"/>
        <v>0</v>
      </c>
      <c r="E105" s="129"/>
      <c r="F105" s="129"/>
      <c r="G105" s="130"/>
      <c r="H105" s="102">
        <f t="shared" si="52"/>
        <v>0</v>
      </c>
      <c r="I105" s="131" t="s">
        <v>27</v>
      </c>
      <c r="J105" s="35">
        <v>0</v>
      </c>
      <c r="K105" s="101">
        <v>91</v>
      </c>
      <c r="L105" s="132"/>
      <c r="M105" s="105"/>
      <c r="N105" s="33">
        <f t="shared" si="53"/>
        <v>89.2666666666667</v>
      </c>
      <c r="O105" s="133">
        <v>279.035</v>
      </c>
      <c r="P105" s="20"/>
      <c r="Q105" s="20"/>
      <c r="R105" s="20"/>
      <c r="S105" s="20"/>
      <c r="T105" s="20"/>
      <c r="U105" s="20"/>
      <c r="W105" s="2"/>
    </row>
    <row r="106" ht="15" hidden="1" customHeight="1" spans="2:23">
      <c r="B106" s="127">
        <f t="shared" si="54"/>
        <v>14</v>
      </c>
      <c r="C106" s="128" t="s">
        <v>212</v>
      </c>
      <c r="D106" s="101">
        <f t="shared" si="50"/>
        <v>96.27</v>
      </c>
      <c r="E106" s="129"/>
      <c r="F106" s="129"/>
      <c r="G106" s="130"/>
      <c r="H106" s="102">
        <f t="shared" si="52"/>
        <v>96.27</v>
      </c>
      <c r="I106" s="131" t="s">
        <v>27</v>
      </c>
      <c r="J106" s="35">
        <v>17191</v>
      </c>
      <c r="K106" s="101">
        <v>56</v>
      </c>
      <c r="L106" s="132"/>
      <c r="M106" s="105"/>
      <c r="N106" s="33">
        <f t="shared" si="53"/>
        <v>54.9333333333333</v>
      </c>
      <c r="O106" s="133">
        <v>6770.562</v>
      </c>
      <c r="P106" s="20"/>
      <c r="Q106" s="20"/>
      <c r="R106" s="20"/>
      <c r="S106" s="20"/>
      <c r="T106" s="20"/>
      <c r="U106" s="20"/>
      <c r="W106" s="2"/>
    </row>
    <row r="107" ht="15" hidden="1" customHeight="1" spans="2:23">
      <c r="B107" s="127">
        <f t="shared" si="54"/>
        <v>15</v>
      </c>
      <c r="C107" s="128" t="s">
        <v>213</v>
      </c>
      <c r="D107" s="101">
        <f t="shared" si="50"/>
        <v>0</v>
      </c>
      <c r="E107" s="129"/>
      <c r="F107" s="129"/>
      <c r="G107" s="130"/>
      <c r="H107" s="102">
        <f t="shared" si="52"/>
        <v>0</v>
      </c>
      <c r="I107" s="131" t="s">
        <v>27</v>
      </c>
      <c r="J107" s="35">
        <v>0</v>
      </c>
      <c r="K107" s="101">
        <v>43</v>
      </c>
      <c r="L107" s="104"/>
      <c r="M107" s="105"/>
      <c r="N107" s="33">
        <f t="shared" si="53"/>
        <v>42.1809523809524</v>
      </c>
      <c r="O107" s="133">
        <v>7029.07</v>
      </c>
      <c r="P107" s="20"/>
      <c r="Q107" s="20"/>
      <c r="R107" s="20"/>
      <c r="S107" s="20"/>
      <c r="T107" s="20"/>
      <c r="U107" s="20"/>
      <c r="W107" s="2"/>
    </row>
    <row r="108" ht="15" hidden="1" customHeight="1" spans="2:23">
      <c r="B108" s="127">
        <f t="shared" si="54"/>
        <v>16</v>
      </c>
      <c r="C108" s="134" t="s">
        <v>214</v>
      </c>
      <c r="D108" s="101">
        <f t="shared" si="50"/>
        <v>130.21</v>
      </c>
      <c r="E108" s="129"/>
      <c r="F108" s="129"/>
      <c r="G108" s="130"/>
      <c r="H108" s="102">
        <f t="shared" si="52"/>
        <v>130.21</v>
      </c>
      <c r="I108" s="131" t="s">
        <v>27</v>
      </c>
      <c r="J108" s="35">
        <v>4537</v>
      </c>
      <c r="K108" s="101">
        <v>287</v>
      </c>
      <c r="L108" s="132"/>
      <c r="M108" s="105"/>
      <c r="N108" s="33">
        <f t="shared" si="53"/>
        <v>281.533333333333</v>
      </c>
      <c r="O108" s="133">
        <v>1</v>
      </c>
      <c r="P108" s="20"/>
      <c r="Q108" s="20"/>
      <c r="R108" s="20"/>
      <c r="S108" s="20"/>
      <c r="T108" s="20"/>
      <c r="U108" s="20"/>
      <c r="W108" s="2"/>
    </row>
    <row r="109" ht="15" customHeight="1" spans="2:23">
      <c r="B109" s="127">
        <f t="shared" si="54"/>
        <v>17</v>
      </c>
      <c r="C109" s="128" t="s">
        <v>215</v>
      </c>
      <c r="D109" s="101">
        <f t="shared" si="50"/>
        <v>44.17</v>
      </c>
      <c r="E109" s="129"/>
      <c r="F109" s="129"/>
      <c r="G109" s="130"/>
      <c r="H109" s="102">
        <f t="shared" si="52"/>
        <v>44.17</v>
      </c>
      <c r="I109" s="131" t="s">
        <v>34</v>
      </c>
      <c r="J109" s="35">
        <v>1630</v>
      </c>
      <c r="K109" s="101">
        <v>271</v>
      </c>
      <c r="L109" s="132"/>
      <c r="M109" s="105"/>
      <c r="N109" s="33">
        <f t="shared" si="53"/>
        <v>265.838095238095</v>
      </c>
      <c r="O109" s="133">
        <v>161.403</v>
      </c>
      <c r="P109" s="20"/>
      <c r="Q109" s="20"/>
      <c r="R109" s="20"/>
      <c r="S109" s="20"/>
      <c r="T109" s="20"/>
      <c r="U109" s="20"/>
      <c r="W109" s="2"/>
    </row>
    <row r="110" ht="15" customHeight="1" spans="2:23">
      <c r="B110" s="127">
        <f t="shared" si="54"/>
        <v>18</v>
      </c>
      <c r="C110" s="128" t="s">
        <v>216</v>
      </c>
      <c r="D110" s="101">
        <f t="shared" si="50"/>
        <v>11.18</v>
      </c>
      <c r="E110" s="129"/>
      <c r="F110" s="129"/>
      <c r="G110" s="130"/>
      <c r="H110" s="102">
        <f t="shared" si="52"/>
        <v>11.18</v>
      </c>
      <c r="I110" s="131" t="s">
        <v>34</v>
      </c>
      <c r="J110" s="35">
        <v>1531</v>
      </c>
      <c r="K110" s="101">
        <v>73</v>
      </c>
      <c r="L110" s="132"/>
      <c r="M110" s="105"/>
      <c r="N110" s="33">
        <f t="shared" si="53"/>
        <v>71.6095238095238</v>
      </c>
      <c r="O110" s="133">
        <v>74.491</v>
      </c>
      <c r="P110" s="20"/>
      <c r="Q110" s="20"/>
      <c r="R110" s="20"/>
      <c r="S110" s="20"/>
      <c r="T110" s="20"/>
      <c r="U110" s="20"/>
      <c r="W110" s="2"/>
    </row>
    <row r="111" ht="15" hidden="1" customHeight="1" spans="2:23">
      <c r="B111" s="127">
        <f t="shared" si="54"/>
        <v>19</v>
      </c>
      <c r="C111" s="134" t="s">
        <v>217</v>
      </c>
      <c r="D111" s="101">
        <f t="shared" si="50"/>
        <v>0</v>
      </c>
      <c r="E111" s="129"/>
      <c r="F111" s="129"/>
      <c r="G111" s="130"/>
      <c r="H111" s="102">
        <f t="shared" si="52"/>
        <v>0</v>
      </c>
      <c r="I111" s="131" t="s">
        <v>119</v>
      </c>
      <c r="J111" s="35">
        <v>0</v>
      </c>
      <c r="K111" s="101">
        <v>1815</v>
      </c>
      <c r="L111" s="132"/>
      <c r="M111" s="105"/>
      <c r="N111" s="33">
        <f t="shared" si="53"/>
        <v>1780.42857142857</v>
      </c>
      <c r="O111" s="133">
        <v>280.33</v>
      </c>
      <c r="P111" s="20"/>
      <c r="Q111" s="20"/>
      <c r="R111" s="20"/>
      <c r="S111" s="20"/>
      <c r="T111" s="20"/>
      <c r="U111" s="20"/>
      <c r="W111" s="2"/>
    </row>
    <row r="112" ht="15" hidden="1" customHeight="1" spans="2:23">
      <c r="B112" s="127">
        <f t="shared" si="54"/>
        <v>20</v>
      </c>
      <c r="C112" s="134" t="s">
        <v>218</v>
      </c>
      <c r="D112" s="101">
        <f t="shared" si="50"/>
        <v>11.13</v>
      </c>
      <c r="E112" s="129"/>
      <c r="F112" s="129"/>
      <c r="G112" s="130"/>
      <c r="H112" s="102">
        <f t="shared" si="52"/>
        <v>11.13</v>
      </c>
      <c r="I112" s="131" t="s">
        <v>119</v>
      </c>
      <c r="J112" s="35">
        <v>40</v>
      </c>
      <c r="K112" s="101">
        <v>2783</v>
      </c>
      <c r="L112" s="132"/>
      <c r="M112" s="105"/>
      <c r="N112" s="33">
        <f t="shared" si="53"/>
        <v>2729.99047619048</v>
      </c>
      <c r="O112" s="133">
        <v>1838</v>
      </c>
      <c r="P112" s="20"/>
      <c r="Q112" s="20"/>
      <c r="R112" s="20"/>
      <c r="S112" s="20"/>
      <c r="T112" s="20"/>
      <c r="U112" s="20"/>
      <c r="W112" s="2"/>
    </row>
    <row r="113" ht="15" hidden="1" customHeight="1" spans="2:25">
      <c r="B113" s="127">
        <f t="shared" si="54"/>
        <v>21</v>
      </c>
      <c r="C113" s="134" t="s">
        <v>219</v>
      </c>
      <c r="D113" s="101">
        <f t="shared" si="50"/>
        <v>15.04</v>
      </c>
      <c r="E113" s="129"/>
      <c r="F113" s="129"/>
      <c r="G113" s="130"/>
      <c r="H113" s="102">
        <f t="shared" si="52"/>
        <v>15.04</v>
      </c>
      <c r="I113" s="131" t="s">
        <v>119</v>
      </c>
      <c r="J113" s="35">
        <v>60</v>
      </c>
      <c r="K113" s="101">
        <v>2506</v>
      </c>
      <c r="L113" s="132"/>
      <c r="M113" s="105"/>
      <c r="N113" s="33">
        <f t="shared" si="53"/>
        <v>2458.26666666667</v>
      </c>
      <c r="O113" s="133">
        <v>2823.25</v>
      </c>
      <c r="P113" s="20"/>
      <c r="Q113" s="20"/>
      <c r="R113" s="20"/>
      <c r="S113" s="20"/>
      <c r="T113" s="20"/>
      <c r="U113" s="20"/>
      <c r="W113" s="2"/>
    </row>
    <row r="114" s="83" customFormat="1" ht="15" hidden="1" customHeight="1" spans="2:25">
      <c r="B114" s="135" t="s">
        <v>45</v>
      </c>
      <c r="C114" s="136" t="s">
        <v>68</v>
      </c>
      <c r="D114" s="137">
        <f t="shared" ref="D114:H114" si="55">SUM(D115:D121)</f>
        <v>1167.88</v>
      </c>
      <c r="E114" s="137">
        <f t="shared" si="55"/>
        <v>0</v>
      </c>
      <c r="F114" s="137">
        <f t="shared" si="55"/>
        <v>0</v>
      </c>
      <c r="G114" s="137">
        <f t="shared" si="55"/>
        <v>0</v>
      </c>
      <c r="H114" s="137">
        <f t="shared" si="55"/>
        <v>1167.88</v>
      </c>
      <c r="I114" s="138" t="s">
        <v>17</v>
      </c>
      <c r="J114" s="137">
        <f>Q2</f>
        <v>0.785</v>
      </c>
      <c r="K114" s="139">
        <f>H114/J114*10000</f>
        <v>14877452.2292994</v>
      </c>
      <c r="L114" s="140"/>
      <c r="M114" s="141"/>
      <c r="N114" s="142"/>
      <c r="O114" s="142"/>
      <c r="P114" s="119"/>
      <c r="Q114" s="119"/>
      <c r="R114" s="119"/>
      <c r="S114" s="119"/>
      <c r="T114" s="119"/>
      <c r="U114" s="119"/>
      <c r="V114" s="143"/>
      <c r="X114" s="120"/>
      <c r="Y114" s="120"/>
    </row>
    <row r="115" s="83" customFormat="1" ht="15" customHeight="1" spans="2:25">
      <c r="B115" s="121">
        <v>1</v>
      </c>
      <c r="C115" s="144" t="s">
        <v>270</v>
      </c>
      <c r="D115" s="110">
        <f t="shared" ref="D115:D121" si="56">ROUND(J115*K115/10000,2)</f>
        <v>321.85</v>
      </c>
      <c r="E115" s="123"/>
      <c r="F115" s="123"/>
      <c r="G115" s="124"/>
      <c r="H115" s="113">
        <f t="shared" ref="H115:H121" si="57">SUM(D115:G115)</f>
        <v>321.85</v>
      </c>
      <c r="I115" s="125" t="s">
        <v>34</v>
      </c>
      <c r="J115" s="114">
        <v>500</v>
      </c>
      <c r="K115" s="110">
        <v>6437</v>
      </c>
      <c r="L115" s="126"/>
      <c r="M115" s="116"/>
      <c r="N115" s="117"/>
      <c r="O115" s="118"/>
      <c r="P115" s="119"/>
      <c r="Q115" s="119"/>
      <c r="R115" s="119"/>
      <c r="S115" s="119"/>
      <c r="T115" s="119"/>
      <c r="U115" s="119"/>
      <c r="V115" s="120"/>
      <c r="X115" s="120"/>
      <c r="Y115" s="120"/>
    </row>
    <row r="116" s="83" customFormat="1" ht="15" customHeight="1" spans="2:25">
      <c r="B116" s="121">
        <v>2</v>
      </c>
      <c r="C116" s="144" t="s">
        <v>271</v>
      </c>
      <c r="D116" s="110">
        <f t="shared" si="56"/>
        <v>390.3</v>
      </c>
      <c r="E116" s="123"/>
      <c r="F116" s="123"/>
      <c r="G116" s="124"/>
      <c r="H116" s="113">
        <f t="shared" si="57"/>
        <v>390.3</v>
      </c>
      <c r="I116" s="125" t="s">
        <v>34</v>
      </c>
      <c r="J116" s="114">
        <v>500</v>
      </c>
      <c r="K116" s="110">
        <v>7806</v>
      </c>
      <c r="L116" s="126"/>
      <c r="M116" s="116"/>
      <c r="N116" s="117"/>
      <c r="O116" s="118"/>
      <c r="P116" s="119"/>
      <c r="Q116" s="119"/>
      <c r="R116" s="119"/>
      <c r="S116" s="119"/>
      <c r="T116" s="119"/>
      <c r="U116" s="119"/>
      <c r="V116" s="120"/>
      <c r="X116" s="120"/>
      <c r="Y116" s="120"/>
    </row>
    <row r="117" s="83" customFormat="1" ht="15" customHeight="1" spans="2:25">
      <c r="B117" s="121">
        <v>3</v>
      </c>
      <c r="C117" s="144" t="s">
        <v>223</v>
      </c>
      <c r="D117" s="110">
        <f t="shared" si="56"/>
        <v>252.21</v>
      </c>
      <c r="E117" s="123"/>
      <c r="F117" s="123"/>
      <c r="G117" s="124"/>
      <c r="H117" s="113">
        <f t="shared" si="57"/>
        <v>252.21</v>
      </c>
      <c r="I117" s="125" t="s">
        <v>34</v>
      </c>
      <c r="J117" s="114">
        <v>700</v>
      </c>
      <c r="K117" s="110">
        <v>3603</v>
      </c>
      <c r="L117" s="126"/>
      <c r="M117" s="116"/>
      <c r="N117" s="117"/>
      <c r="O117" s="118"/>
      <c r="P117" s="119"/>
      <c r="Q117" s="119"/>
      <c r="R117" s="119"/>
      <c r="S117" s="119"/>
      <c r="T117" s="119"/>
      <c r="U117" s="119"/>
      <c r="V117" s="120"/>
      <c r="X117" s="120"/>
      <c r="Y117" s="120"/>
    </row>
    <row r="118" s="83" customFormat="1" ht="15" customHeight="1" spans="2:25">
      <c r="B118" s="121">
        <v>4</v>
      </c>
      <c r="C118" s="144" t="s">
        <v>224</v>
      </c>
      <c r="D118" s="110">
        <f t="shared" si="56"/>
        <v>103.32</v>
      </c>
      <c r="E118" s="123"/>
      <c r="F118" s="123"/>
      <c r="G118" s="124"/>
      <c r="H118" s="113">
        <f t="shared" si="57"/>
        <v>103.32</v>
      </c>
      <c r="I118" s="125" t="s">
        <v>34</v>
      </c>
      <c r="J118" s="114">
        <v>1200</v>
      </c>
      <c r="K118" s="110">
        <v>861</v>
      </c>
      <c r="L118" s="126"/>
      <c r="M118" s="116"/>
      <c r="N118" s="117"/>
      <c r="O118" s="118"/>
      <c r="P118" s="119"/>
      <c r="Q118" s="119"/>
      <c r="R118" s="119"/>
      <c r="S118" s="119"/>
      <c r="T118" s="119"/>
      <c r="U118" s="119"/>
      <c r="V118" s="120"/>
      <c r="X118" s="120"/>
      <c r="Y118" s="120"/>
    </row>
    <row r="119" s="83" customFormat="1" ht="15" hidden="1" customHeight="1" spans="2:25">
      <c r="B119" s="121">
        <v>5</v>
      </c>
      <c r="C119" s="144" t="s">
        <v>225</v>
      </c>
      <c r="D119" s="110">
        <f t="shared" si="56"/>
        <v>25</v>
      </c>
      <c r="E119" s="123"/>
      <c r="F119" s="123"/>
      <c r="G119" s="124"/>
      <c r="H119" s="113">
        <f t="shared" si="57"/>
        <v>25</v>
      </c>
      <c r="I119" s="125" t="s">
        <v>119</v>
      </c>
      <c r="J119" s="114">
        <v>25</v>
      </c>
      <c r="K119" s="110">
        <v>10000</v>
      </c>
      <c r="L119" s="126"/>
      <c r="M119" s="116"/>
      <c r="N119" s="117"/>
      <c r="O119" s="118"/>
      <c r="P119" s="119"/>
      <c r="Q119" s="119"/>
      <c r="R119" s="119"/>
      <c r="S119" s="119"/>
      <c r="T119" s="119"/>
      <c r="U119" s="119"/>
      <c r="V119" s="120"/>
      <c r="X119" s="120"/>
      <c r="Y119" s="120"/>
    </row>
    <row r="120" s="83" customFormat="1" ht="15" hidden="1" customHeight="1" spans="2:25">
      <c r="B120" s="121">
        <v>6</v>
      </c>
      <c r="C120" s="144" t="s">
        <v>272</v>
      </c>
      <c r="D120" s="110">
        <f t="shared" si="56"/>
        <v>56</v>
      </c>
      <c r="E120" s="123"/>
      <c r="F120" s="123"/>
      <c r="G120" s="124"/>
      <c r="H120" s="113">
        <f t="shared" si="57"/>
        <v>56</v>
      </c>
      <c r="I120" s="125" t="s">
        <v>119</v>
      </c>
      <c r="J120" s="114">
        <v>35</v>
      </c>
      <c r="K120" s="110">
        <v>16000</v>
      </c>
      <c r="L120" s="126"/>
      <c r="M120" s="116"/>
      <c r="N120" s="117"/>
      <c r="O120" s="118"/>
      <c r="P120" s="119"/>
      <c r="Q120" s="119"/>
      <c r="R120" s="119"/>
      <c r="S120" s="119"/>
      <c r="T120" s="119"/>
      <c r="U120" s="119"/>
      <c r="V120" s="120"/>
      <c r="X120" s="120"/>
      <c r="Y120" s="120"/>
    </row>
    <row r="121" s="83" customFormat="1" ht="15" hidden="1" customHeight="1" spans="2:25">
      <c r="B121" s="121">
        <f>B120+1</f>
        <v>7</v>
      </c>
      <c r="C121" s="144" t="s">
        <v>228</v>
      </c>
      <c r="D121" s="110">
        <f t="shared" si="56"/>
        <v>19.2</v>
      </c>
      <c r="E121" s="123"/>
      <c r="F121" s="123"/>
      <c r="G121" s="124"/>
      <c r="H121" s="113">
        <f t="shared" si="57"/>
        <v>19.2</v>
      </c>
      <c r="I121" s="125" t="s">
        <v>119</v>
      </c>
      <c r="J121" s="114">
        <v>120</v>
      </c>
      <c r="K121" s="110">
        <v>1600</v>
      </c>
      <c r="L121" s="126"/>
      <c r="M121" s="116"/>
      <c r="N121" s="117"/>
      <c r="O121" s="118"/>
      <c r="P121" s="119"/>
      <c r="Q121" s="119"/>
      <c r="R121" s="119"/>
      <c r="S121" s="119"/>
      <c r="T121" s="119"/>
      <c r="U121" s="119"/>
      <c r="V121" s="120"/>
      <c r="X121" s="120"/>
      <c r="Y121" s="120"/>
    </row>
    <row r="122" s="83" customFormat="1" ht="15" hidden="1" customHeight="1" spans="2:25">
      <c r="B122" s="135" t="s">
        <v>59</v>
      </c>
      <c r="C122" s="136" t="s">
        <v>73</v>
      </c>
      <c r="D122" s="137">
        <f t="shared" ref="D122:H122" si="58">SUM(D123:D130)</f>
        <v>312.4</v>
      </c>
      <c r="E122" s="137">
        <f t="shared" si="58"/>
        <v>0</v>
      </c>
      <c r="F122" s="137">
        <f t="shared" si="58"/>
        <v>0</v>
      </c>
      <c r="G122" s="137">
        <f t="shared" si="58"/>
        <v>0</v>
      </c>
      <c r="H122" s="137">
        <f t="shared" si="58"/>
        <v>312.4</v>
      </c>
      <c r="I122" s="138" t="s">
        <v>17</v>
      </c>
      <c r="J122" s="137">
        <f>J114</f>
        <v>0.785</v>
      </c>
      <c r="K122" s="139">
        <f>H122/J122*10000</f>
        <v>3979617.8343949</v>
      </c>
      <c r="L122" s="140"/>
      <c r="M122" s="116"/>
      <c r="N122" s="117"/>
      <c r="O122" s="118"/>
      <c r="P122" s="119"/>
      <c r="Q122" s="119"/>
      <c r="R122" s="119"/>
      <c r="S122" s="119"/>
      <c r="T122" s="119"/>
      <c r="U122" s="119"/>
      <c r="V122" s="120"/>
      <c r="X122" s="120"/>
      <c r="Y122" s="120"/>
    </row>
    <row r="123" s="83" customFormat="1" ht="15" customHeight="1" spans="2:25">
      <c r="B123" s="121">
        <v>1</v>
      </c>
      <c r="C123" s="144" t="s">
        <v>229</v>
      </c>
      <c r="D123" s="110">
        <f t="shared" ref="D123:D130" si="59">ROUND(J123*K123/10000,2)</f>
        <v>94.71</v>
      </c>
      <c r="E123" s="123"/>
      <c r="F123" s="123"/>
      <c r="G123" s="124"/>
      <c r="H123" s="113">
        <f t="shared" ref="H123:H130" si="60">SUM(D123:G123)</f>
        <v>94.71</v>
      </c>
      <c r="I123" s="125" t="s">
        <v>34</v>
      </c>
      <c r="J123" s="114">
        <v>350</v>
      </c>
      <c r="K123" s="110">
        <v>2706</v>
      </c>
      <c r="L123" s="126"/>
      <c r="M123" s="116"/>
      <c r="N123" s="117"/>
      <c r="O123" s="118"/>
      <c r="P123" s="119"/>
      <c r="Q123" s="119"/>
      <c r="R123" s="119"/>
      <c r="S123" s="119"/>
      <c r="T123" s="119"/>
      <c r="U123" s="119"/>
      <c r="V123" s="120"/>
      <c r="X123" s="120"/>
      <c r="Y123" s="120"/>
    </row>
    <row r="124" s="83" customFormat="1" ht="15" customHeight="1" spans="2:25">
      <c r="B124" s="121">
        <v>2</v>
      </c>
      <c r="C124" s="144" t="s">
        <v>273</v>
      </c>
      <c r="D124" s="110">
        <f t="shared" si="59"/>
        <v>193.05</v>
      </c>
      <c r="E124" s="123"/>
      <c r="F124" s="123"/>
      <c r="G124" s="124"/>
      <c r="H124" s="113">
        <f t="shared" si="60"/>
        <v>193.05</v>
      </c>
      <c r="I124" s="125" t="s">
        <v>34</v>
      </c>
      <c r="J124" s="114">
        <v>450</v>
      </c>
      <c r="K124" s="110">
        <v>4290</v>
      </c>
      <c r="L124" s="126"/>
      <c r="M124" s="116"/>
      <c r="N124" s="117"/>
      <c r="O124" s="118"/>
      <c r="P124" s="119"/>
      <c r="Q124" s="119"/>
      <c r="R124" s="119"/>
      <c r="S124" s="119"/>
      <c r="T124" s="119"/>
      <c r="U124" s="119"/>
      <c r="V124" s="120"/>
      <c r="X124" s="120"/>
      <c r="Y124" s="120"/>
    </row>
    <row r="125" s="83" customFormat="1" ht="15" customHeight="1" spans="2:25">
      <c r="B125" s="121">
        <v>3</v>
      </c>
      <c r="C125" s="144" t="s">
        <v>230</v>
      </c>
      <c r="D125" s="110">
        <f t="shared" si="59"/>
        <v>1.09</v>
      </c>
      <c r="E125" s="123"/>
      <c r="F125" s="123"/>
      <c r="G125" s="124"/>
      <c r="H125" s="113">
        <f t="shared" si="60"/>
        <v>1.09</v>
      </c>
      <c r="I125" s="125" t="s">
        <v>34</v>
      </c>
      <c r="J125" s="114">
        <v>350</v>
      </c>
      <c r="K125" s="110">
        <v>31</v>
      </c>
      <c r="L125" s="126"/>
      <c r="M125" s="116"/>
      <c r="N125" s="117"/>
      <c r="O125" s="118"/>
      <c r="P125" s="119"/>
      <c r="Q125" s="119"/>
      <c r="R125" s="119"/>
      <c r="S125" s="119"/>
      <c r="T125" s="119"/>
      <c r="U125" s="119"/>
      <c r="V125" s="120"/>
      <c r="X125" s="120"/>
      <c r="Y125" s="120"/>
    </row>
    <row r="126" s="83" customFormat="1" ht="15" customHeight="1" spans="2:25">
      <c r="B126" s="121">
        <v>4</v>
      </c>
      <c r="C126" s="144" t="s">
        <v>274</v>
      </c>
      <c r="D126" s="110">
        <f t="shared" si="59"/>
        <v>2.3</v>
      </c>
      <c r="E126" s="123"/>
      <c r="F126" s="123"/>
      <c r="G126" s="124"/>
      <c r="H126" s="113">
        <f t="shared" si="60"/>
        <v>2.3</v>
      </c>
      <c r="I126" s="125" t="s">
        <v>34</v>
      </c>
      <c r="J126" s="114">
        <v>450</v>
      </c>
      <c r="K126" s="110">
        <v>51</v>
      </c>
      <c r="L126" s="126"/>
      <c r="M126" s="116"/>
      <c r="N126" s="117"/>
      <c r="O126" s="118"/>
      <c r="P126" s="119"/>
      <c r="Q126" s="119"/>
      <c r="R126" s="119"/>
      <c r="S126" s="119"/>
      <c r="T126" s="119"/>
      <c r="U126" s="119"/>
      <c r="V126" s="120"/>
      <c r="X126" s="120"/>
      <c r="Y126" s="120"/>
    </row>
    <row r="127" s="83" customFormat="1" ht="15" hidden="1" customHeight="1" spans="2:25">
      <c r="B127" s="121">
        <v>5</v>
      </c>
      <c r="C127" s="144" t="s">
        <v>232</v>
      </c>
      <c r="D127" s="110">
        <f t="shared" si="59"/>
        <v>21.25</v>
      </c>
      <c r="E127" s="123"/>
      <c r="F127" s="123"/>
      <c r="G127" s="124"/>
      <c r="H127" s="113">
        <f t="shared" si="60"/>
        <v>21.25</v>
      </c>
      <c r="I127" s="125" t="s">
        <v>119</v>
      </c>
      <c r="J127" s="114">
        <v>25</v>
      </c>
      <c r="K127" s="110">
        <v>8500</v>
      </c>
      <c r="L127" s="126"/>
      <c r="M127" s="116"/>
      <c r="N127" s="117"/>
      <c r="O127" s="118"/>
      <c r="P127" s="119"/>
      <c r="Q127" s="119"/>
      <c r="R127" s="119"/>
      <c r="S127" s="119"/>
      <c r="T127" s="119"/>
      <c r="U127" s="119"/>
      <c r="V127" s="120"/>
      <c r="X127" s="120"/>
      <c r="Y127" s="120"/>
    </row>
    <row r="128" s="83" customFormat="1" ht="15" hidden="1" customHeight="1" spans="2:25">
      <c r="B128" s="121">
        <v>6</v>
      </c>
      <c r="C128" s="144" t="s">
        <v>275</v>
      </c>
      <c r="D128" s="110">
        <f t="shared" si="59"/>
        <v>0</v>
      </c>
      <c r="E128" s="123"/>
      <c r="F128" s="123"/>
      <c r="G128" s="124"/>
      <c r="H128" s="113">
        <f t="shared" si="60"/>
        <v>0</v>
      </c>
      <c r="I128" s="125" t="s">
        <v>276</v>
      </c>
      <c r="J128" s="114">
        <v>0</v>
      </c>
      <c r="K128" s="110">
        <v>4725</v>
      </c>
      <c r="L128" s="126"/>
      <c r="M128" s="116"/>
      <c r="N128" s="117"/>
      <c r="O128" s="118"/>
      <c r="P128" s="119"/>
      <c r="Q128" s="119"/>
      <c r="R128" s="119"/>
      <c r="S128" s="119"/>
      <c r="T128" s="119"/>
      <c r="U128" s="119"/>
      <c r="V128" s="120"/>
      <c r="X128" s="120"/>
      <c r="Y128" s="120"/>
    </row>
    <row r="129" s="83" customFormat="1" ht="15" customHeight="1" spans="1:25">
      <c r="B129" s="121">
        <v>7</v>
      </c>
      <c r="C129" s="144" t="s">
        <v>277</v>
      </c>
      <c r="D129" s="110">
        <f t="shared" si="59"/>
        <v>0</v>
      </c>
      <c r="E129" s="123"/>
      <c r="F129" s="123"/>
      <c r="G129" s="124"/>
      <c r="H129" s="113">
        <f t="shared" si="60"/>
        <v>0</v>
      </c>
      <c r="I129" s="125" t="s">
        <v>34</v>
      </c>
      <c r="J129" s="114">
        <v>0</v>
      </c>
      <c r="K129" s="110">
        <v>2442</v>
      </c>
      <c r="L129" s="126"/>
      <c r="M129" s="116"/>
      <c r="N129" s="117"/>
      <c r="O129" s="118"/>
      <c r="P129" s="119"/>
      <c r="Q129" s="119"/>
      <c r="R129" s="119"/>
      <c r="S129" s="119"/>
      <c r="T129" s="119"/>
      <c r="U129" s="119"/>
      <c r="V129" s="120"/>
      <c r="X129" s="120"/>
      <c r="Y129" s="120"/>
    </row>
    <row r="130" s="83" customFormat="1" ht="15" customHeight="1" spans="1:25">
      <c r="B130" s="121">
        <v>8</v>
      </c>
      <c r="C130" s="144" t="s">
        <v>229</v>
      </c>
      <c r="D130" s="110">
        <f t="shared" si="59"/>
        <v>0</v>
      </c>
      <c r="E130" s="123"/>
      <c r="F130" s="123"/>
      <c r="G130" s="124"/>
      <c r="H130" s="113">
        <f t="shared" si="60"/>
        <v>0</v>
      </c>
      <c r="I130" s="125" t="s">
        <v>34</v>
      </c>
      <c r="J130" s="114">
        <v>0</v>
      </c>
      <c r="K130" s="110">
        <v>2706</v>
      </c>
      <c r="L130" s="126"/>
      <c r="M130" s="116"/>
      <c r="N130" s="117"/>
      <c r="O130" s="118"/>
      <c r="P130" s="119"/>
      <c r="Q130" s="119"/>
      <c r="R130" s="119"/>
      <c r="S130" s="119"/>
      <c r="T130" s="119"/>
      <c r="U130" s="119"/>
      <c r="V130" s="120"/>
      <c r="X130" s="120"/>
      <c r="Y130" s="120"/>
    </row>
    <row r="131" s="83" customFormat="1" ht="15" hidden="1" customHeight="1" spans="1:25">
      <c r="B131" s="135" t="s">
        <v>63</v>
      </c>
      <c r="C131" s="136" t="s">
        <v>64</v>
      </c>
      <c r="D131" s="137">
        <f t="shared" ref="D131:H131" si="61">SUM(D132:D136)</f>
        <v>77.76</v>
      </c>
      <c r="E131" s="137">
        <f t="shared" si="61"/>
        <v>0</v>
      </c>
      <c r="F131" s="137">
        <f t="shared" si="61"/>
        <v>0</v>
      </c>
      <c r="G131" s="137">
        <f t="shared" si="61"/>
        <v>0</v>
      </c>
      <c r="H131" s="137">
        <f t="shared" si="61"/>
        <v>77.76</v>
      </c>
      <c r="I131" s="138" t="s">
        <v>17</v>
      </c>
      <c r="J131" s="137">
        <f>J122</f>
        <v>0.785</v>
      </c>
      <c r="K131" s="139">
        <f>H131/J131*10000</f>
        <v>990573.248407643</v>
      </c>
      <c r="L131" s="140"/>
      <c r="M131" s="116"/>
      <c r="N131" s="117"/>
      <c r="O131" s="118"/>
      <c r="P131" s="119"/>
      <c r="Q131" s="119"/>
      <c r="R131" s="119"/>
      <c r="S131" s="119"/>
      <c r="T131" s="119"/>
      <c r="U131" s="119"/>
      <c r="V131" s="120"/>
      <c r="X131" s="120"/>
      <c r="Y131" s="120"/>
    </row>
    <row r="132" s="2" customFormat="1" ht="15" customHeight="1" spans="1:25">
      <c r="A132" s="83"/>
      <c r="B132" s="127">
        <v>1</v>
      </c>
      <c r="C132" s="134" t="s">
        <v>278</v>
      </c>
      <c r="D132" s="101">
        <f t="shared" ref="D132:D136" si="62">ROUND(J132*K132/10000,2)</f>
        <v>66.8</v>
      </c>
      <c r="E132" s="129"/>
      <c r="F132" s="129"/>
      <c r="G132" s="130"/>
      <c r="H132" s="102">
        <f t="shared" ref="H132:H136" si="63">SUM(D132:G132)</f>
        <v>66.8</v>
      </c>
      <c r="I132" s="131" t="s">
        <v>34</v>
      </c>
      <c r="J132" s="35">
        <v>400</v>
      </c>
      <c r="K132" s="101">
        <v>1670</v>
      </c>
      <c r="L132" s="132"/>
      <c r="M132" s="105"/>
      <c r="N132" s="117"/>
      <c r="O132" s="118"/>
      <c r="P132" s="20"/>
      <c r="Q132" s="20"/>
      <c r="R132" s="20"/>
      <c r="S132" s="20"/>
      <c r="T132" s="20"/>
      <c r="U132" s="20"/>
      <c r="V132" s="6"/>
      <c r="X132" s="6"/>
      <c r="Y132" s="6"/>
    </row>
    <row r="133" s="83" customFormat="1" ht="15" hidden="1" customHeight="1" spans="1:25">
      <c r="B133" s="121">
        <f t="shared" ref="B133:B136" si="64">B132+1</f>
        <v>2</v>
      </c>
      <c r="C133" s="144" t="s">
        <v>234</v>
      </c>
      <c r="D133" s="110">
        <f t="shared" si="62"/>
        <v>3.85</v>
      </c>
      <c r="E133" s="123"/>
      <c r="F133" s="123"/>
      <c r="G133" s="124"/>
      <c r="H133" s="113">
        <f t="shared" si="63"/>
        <v>3.85</v>
      </c>
      <c r="I133" s="125" t="s">
        <v>119</v>
      </c>
      <c r="J133" s="114">
        <v>6</v>
      </c>
      <c r="K133" s="110">
        <v>6419</v>
      </c>
      <c r="L133" s="126"/>
      <c r="M133" s="116"/>
      <c r="N133" s="117"/>
      <c r="O133" s="118"/>
      <c r="P133" s="119"/>
      <c r="Q133" s="119"/>
      <c r="R133" s="119"/>
      <c r="S133" s="119"/>
      <c r="T133" s="119"/>
      <c r="U133" s="119"/>
      <c r="V133" s="120"/>
      <c r="X133" s="120"/>
      <c r="Y133" s="120"/>
    </row>
    <row r="134" s="83" customFormat="1" ht="15" hidden="1" customHeight="1" spans="1:25">
      <c r="B134" s="121">
        <f t="shared" si="64"/>
        <v>3</v>
      </c>
      <c r="C134" s="144" t="s">
        <v>235</v>
      </c>
      <c r="D134" s="110">
        <f t="shared" si="62"/>
        <v>5.7</v>
      </c>
      <c r="E134" s="123"/>
      <c r="F134" s="123"/>
      <c r="G134" s="124"/>
      <c r="H134" s="113">
        <f t="shared" si="63"/>
        <v>5.7</v>
      </c>
      <c r="I134" s="125" t="s">
        <v>119</v>
      </c>
      <c r="J134" s="114">
        <v>4</v>
      </c>
      <c r="K134" s="110">
        <v>14245</v>
      </c>
      <c r="L134" s="126"/>
      <c r="M134" s="116"/>
      <c r="N134" s="117"/>
      <c r="O134" s="118"/>
      <c r="P134" s="119"/>
      <c r="Q134" s="119"/>
      <c r="R134" s="119"/>
      <c r="S134" s="119"/>
      <c r="T134" s="119"/>
      <c r="U134" s="119"/>
      <c r="V134" s="120"/>
      <c r="X134" s="120"/>
      <c r="Y134" s="120"/>
    </row>
    <row r="135" s="83" customFormat="1" ht="15" hidden="1" customHeight="1" spans="1:25">
      <c r="B135" s="121">
        <f t="shared" si="64"/>
        <v>4</v>
      </c>
      <c r="C135" s="144" t="s">
        <v>279</v>
      </c>
      <c r="D135" s="110">
        <f t="shared" si="62"/>
        <v>0.65</v>
      </c>
      <c r="E135" s="123"/>
      <c r="F135" s="123"/>
      <c r="G135" s="124"/>
      <c r="H135" s="113">
        <f t="shared" si="63"/>
        <v>0.65</v>
      </c>
      <c r="I135" s="125" t="s">
        <v>119</v>
      </c>
      <c r="J135" s="114">
        <v>1</v>
      </c>
      <c r="K135" s="110">
        <v>6509</v>
      </c>
      <c r="L135" s="126"/>
      <c r="M135" s="116"/>
      <c r="N135" s="117"/>
      <c r="O135" s="118"/>
      <c r="P135" s="119"/>
      <c r="Q135" s="119"/>
      <c r="R135" s="119"/>
      <c r="S135" s="119"/>
      <c r="T135" s="119"/>
      <c r="U135" s="119"/>
      <c r="V135" s="120"/>
      <c r="X135" s="120"/>
      <c r="Y135" s="120"/>
    </row>
    <row r="136" s="83" customFormat="1" ht="15" hidden="1" customHeight="1" spans="1:25">
      <c r="B136" s="121">
        <f t="shared" si="64"/>
        <v>5</v>
      </c>
      <c r="C136" s="144" t="s">
        <v>280</v>
      </c>
      <c r="D136" s="110">
        <f t="shared" si="62"/>
        <v>0.76</v>
      </c>
      <c r="E136" s="123"/>
      <c r="F136" s="123"/>
      <c r="G136" s="124"/>
      <c r="H136" s="113">
        <f t="shared" si="63"/>
        <v>0.76</v>
      </c>
      <c r="I136" s="125" t="s">
        <v>119</v>
      </c>
      <c r="J136" s="114">
        <v>1</v>
      </c>
      <c r="K136" s="110">
        <v>7616</v>
      </c>
      <c r="L136" s="126"/>
      <c r="M136" s="116"/>
      <c r="N136" s="117"/>
      <c r="O136" s="118"/>
      <c r="P136" s="119"/>
      <c r="Q136" s="119"/>
      <c r="R136" s="119"/>
      <c r="S136" s="119"/>
      <c r="T136" s="119"/>
      <c r="U136" s="119"/>
      <c r="V136" s="120"/>
      <c r="X136" s="120"/>
      <c r="Y136" s="120"/>
    </row>
    <row r="137" s="2" customFormat="1" ht="15" hidden="1" customHeight="1" spans="1:25">
      <c r="B137" s="96" t="s">
        <v>67</v>
      </c>
      <c r="C137" s="26" t="s">
        <v>85</v>
      </c>
      <c r="D137" s="27">
        <f t="shared" ref="D137:H137" si="65">SUM(D138:D143)</f>
        <v>313.32</v>
      </c>
      <c r="E137" s="27">
        <f t="shared" si="65"/>
        <v>0</v>
      </c>
      <c r="F137" s="27">
        <f t="shared" si="65"/>
        <v>0</v>
      </c>
      <c r="G137" s="27">
        <f t="shared" si="65"/>
        <v>0</v>
      </c>
      <c r="H137" s="27">
        <f t="shared" si="65"/>
        <v>313.32</v>
      </c>
      <c r="I137" s="28" t="s">
        <v>17</v>
      </c>
      <c r="J137" s="27">
        <f>J131</f>
        <v>0.785</v>
      </c>
      <c r="K137" s="29">
        <f>H137/J137*10000</f>
        <v>3991337.57961783</v>
      </c>
      <c r="L137" s="107"/>
      <c r="M137" s="97"/>
      <c r="N137" s="33"/>
      <c r="O137" s="133"/>
      <c r="P137" s="20"/>
      <c r="Q137" s="20"/>
      <c r="R137" s="20"/>
      <c r="S137" s="20"/>
      <c r="T137" s="20"/>
      <c r="U137" s="20"/>
      <c r="V137" s="6"/>
      <c r="X137" s="6"/>
      <c r="Y137" s="6"/>
    </row>
    <row r="138" s="2" customFormat="1" ht="15" customHeight="1" spans="1:25">
      <c r="B138" s="127">
        <v>1</v>
      </c>
      <c r="C138" s="134" t="s">
        <v>281</v>
      </c>
      <c r="D138" s="101">
        <f t="shared" ref="D138:D143" si="66">ROUND(J138*K138/10000,2)</f>
        <v>182.4</v>
      </c>
      <c r="E138" s="129"/>
      <c r="F138" s="129"/>
      <c r="G138" s="130"/>
      <c r="H138" s="102">
        <f t="shared" ref="H138:H143" si="67">SUM(D138:G138)</f>
        <v>182.4</v>
      </c>
      <c r="I138" s="131" t="s">
        <v>34</v>
      </c>
      <c r="J138" s="35">
        <v>800</v>
      </c>
      <c r="K138" s="101">
        <v>2280</v>
      </c>
      <c r="L138" s="132"/>
      <c r="M138" s="105"/>
      <c r="N138" s="33"/>
      <c r="O138" s="133"/>
      <c r="P138" s="20"/>
      <c r="Q138" s="20"/>
      <c r="R138" s="20"/>
      <c r="S138" s="20"/>
      <c r="T138" s="20"/>
      <c r="U138" s="20"/>
      <c r="V138" s="6"/>
      <c r="X138" s="6"/>
      <c r="Y138" s="6"/>
    </row>
    <row r="139" s="2" customFormat="1" ht="15" customHeight="1" spans="1:25">
      <c r="B139" s="127">
        <f t="shared" ref="B139:B143" si="68">B138+1</f>
        <v>2</v>
      </c>
      <c r="C139" s="134" t="s">
        <v>282</v>
      </c>
      <c r="D139" s="101">
        <f t="shared" si="66"/>
        <v>48.36</v>
      </c>
      <c r="E139" s="129"/>
      <c r="F139" s="129"/>
      <c r="G139" s="130"/>
      <c r="H139" s="102">
        <f t="shared" si="67"/>
        <v>48.36</v>
      </c>
      <c r="I139" s="131" t="s">
        <v>34</v>
      </c>
      <c r="J139" s="35">
        <v>150</v>
      </c>
      <c r="K139" s="101">
        <v>3224</v>
      </c>
      <c r="L139" s="132"/>
      <c r="M139" s="105"/>
      <c r="N139" s="33"/>
      <c r="O139" s="133"/>
      <c r="P139" s="20"/>
      <c r="Q139" s="20"/>
      <c r="R139" s="20"/>
      <c r="S139" s="20"/>
      <c r="T139" s="20"/>
      <c r="U139" s="20"/>
      <c r="V139" s="6"/>
      <c r="X139" s="6"/>
      <c r="Y139" s="6"/>
    </row>
    <row r="140" s="2" customFormat="1" ht="15" hidden="1" customHeight="1" spans="1:25">
      <c r="B140" s="127">
        <f t="shared" si="68"/>
        <v>3</v>
      </c>
      <c r="C140" s="134" t="s">
        <v>240</v>
      </c>
      <c r="D140" s="101">
        <f t="shared" si="66"/>
        <v>62.95</v>
      </c>
      <c r="E140" s="129"/>
      <c r="F140" s="129"/>
      <c r="G140" s="130"/>
      <c r="H140" s="102">
        <f t="shared" si="67"/>
        <v>62.95</v>
      </c>
      <c r="I140" s="131" t="s">
        <v>119</v>
      </c>
      <c r="J140" s="35">
        <v>26</v>
      </c>
      <c r="K140" s="101">
        <v>24211</v>
      </c>
      <c r="L140" s="132"/>
      <c r="M140" s="105"/>
      <c r="N140" s="33"/>
      <c r="O140" s="133"/>
      <c r="P140" s="20"/>
      <c r="Q140" s="20"/>
      <c r="R140" s="20"/>
      <c r="S140" s="20"/>
      <c r="T140" s="20"/>
      <c r="U140" s="20"/>
      <c r="V140" s="6"/>
      <c r="X140" s="6"/>
      <c r="Y140" s="6"/>
    </row>
    <row r="141" s="2" customFormat="1" ht="15" hidden="1" customHeight="1" spans="1:25">
      <c r="B141" s="127">
        <f t="shared" si="68"/>
        <v>4</v>
      </c>
      <c r="C141" s="134" t="s">
        <v>241</v>
      </c>
      <c r="D141" s="101">
        <f t="shared" si="66"/>
        <v>12.11</v>
      </c>
      <c r="E141" s="129"/>
      <c r="F141" s="129"/>
      <c r="G141" s="130"/>
      <c r="H141" s="102">
        <f t="shared" si="67"/>
        <v>12.11</v>
      </c>
      <c r="I141" s="131" t="s">
        <v>119</v>
      </c>
      <c r="J141" s="35">
        <v>5</v>
      </c>
      <c r="K141" s="101">
        <v>24211</v>
      </c>
      <c r="L141" s="132"/>
      <c r="M141" s="105"/>
      <c r="N141" s="33"/>
      <c r="O141" s="133"/>
      <c r="P141" s="20"/>
      <c r="Q141" s="20"/>
      <c r="R141" s="20"/>
      <c r="S141" s="20"/>
      <c r="T141" s="20"/>
      <c r="U141" s="20"/>
      <c r="V141" s="6"/>
      <c r="X141" s="6"/>
      <c r="Y141" s="6"/>
    </row>
    <row r="142" s="2" customFormat="1" ht="15" customHeight="1" spans="1:25">
      <c r="B142" s="127">
        <f t="shared" si="68"/>
        <v>5</v>
      </c>
      <c r="C142" s="134" t="s">
        <v>242</v>
      </c>
      <c r="D142" s="101">
        <f t="shared" si="66"/>
        <v>5.7</v>
      </c>
      <c r="E142" s="129"/>
      <c r="F142" s="129"/>
      <c r="G142" s="130"/>
      <c r="H142" s="102">
        <f t="shared" si="67"/>
        <v>5.7</v>
      </c>
      <c r="I142" s="131" t="s">
        <v>34</v>
      </c>
      <c r="J142" s="35">
        <v>1900</v>
      </c>
      <c r="K142" s="101">
        <v>30</v>
      </c>
      <c r="L142" s="132"/>
      <c r="M142" s="105"/>
      <c r="N142" s="33"/>
      <c r="O142" s="133"/>
      <c r="P142" s="20"/>
      <c r="Q142" s="20"/>
      <c r="R142" s="20"/>
      <c r="S142" s="20"/>
      <c r="T142" s="20"/>
      <c r="U142" s="20"/>
      <c r="V142" s="6"/>
      <c r="X142" s="6"/>
      <c r="Y142" s="6"/>
    </row>
    <row r="143" s="2" customFormat="1" ht="15" hidden="1" customHeight="1" spans="1:25">
      <c r="B143" s="127">
        <f t="shared" si="68"/>
        <v>6</v>
      </c>
      <c r="C143" s="134" t="s">
        <v>243</v>
      </c>
      <c r="D143" s="101">
        <f t="shared" si="66"/>
        <v>1.8</v>
      </c>
      <c r="E143" s="129"/>
      <c r="F143" s="129"/>
      <c r="G143" s="130"/>
      <c r="H143" s="102">
        <f t="shared" si="67"/>
        <v>1.8</v>
      </c>
      <c r="I143" s="131" t="s">
        <v>49</v>
      </c>
      <c r="J143" s="35">
        <v>124</v>
      </c>
      <c r="K143" s="101">
        <v>145</v>
      </c>
      <c r="L143" s="132"/>
      <c r="M143" s="105"/>
      <c r="N143" s="33"/>
      <c r="O143" s="133"/>
      <c r="P143" s="20"/>
      <c r="Q143" s="20"/>
      <c r="R143" s="20"/>
      <c r="S143" s="20"/>
      <c r="T143" s="20"/>
      <c r="U143" s="20"/>
      <c r="V143" s="6"/>
      <c r="X143" s="6"/>
      <c r="Y143" s="6"/>
    </row>
    <row r="144" s="2" customFormat="1" ht="15" hidden="1" customHeight="1" spans="1:25">
      <c r="B144" s="96" t="s">
        <v>72</v>
      </c>
      <c r="C144" s="26" t="s">
        <v>90</v>
      </c>
      <c r="D144" s="27">
        <f t="shared" ref="D144:H144" si="69">SUM(D145:D148)</f>
        <v>268.22</v>
      </c>
      <c r="E144" s="27">
        <f t="shared" si="69"/>
        <v>0</v>
      </c>
      <c r="F144" s="27">
        <f t="shared" si="69"/>
        <v>0</v>
      </c>
      <c r="G144" s="27">
        <f t="shared" si="69"/>
        <v>0</v>
      </c>
      <c r="H144" s="27">
        <f t="shared" si="69"/>
        <v>268.22</v>
      </c>
      <c r="I144" s="28" t="s">
        <v>17</v>
      </c>
      <c r="J144" s="27">
        <f>J137</f>
        <v>0.785</v>
      </c>
      <c r="K144" s="29">
        <f>H144/J144*10000</f>
        <v>3416815.2866242</v>
      </c>
      <c r="L144" s="107"/>
      <c r="M144" s="97"/>
      <c r="N144" s="33"/>
      <c r="O144" s="133"/>
      <c r="P144" s="20"/>
      <c r="Q144" s="20"/>
      <c r="R144" s="20"/>
      <c r="S144" s="20"/>
      <c r="T144" s="20"/>
      <c r="U144" s="20"/>
      <c r="V144" s="6"/>
      <c r="X144" s="6"/>
      <c r="Y144" s="6"/>
    </row>
    <row r="145" s="2" customFormat="1" ht="15" customHeight="1" spans="2:25">
      <c r="B145" s="127">
        <v>1</v>
      </c>
      <c r="C145" s="134" t="s">
        <v>283</v>
      </c>
      <c r="D145" s="101">
        <f t="shared" ref="D145:D148" si="70">ROUND(J145*K145/10000,2)</f>
        <v>203.2</v>
      </c>
      <c r="E145" s="129"/>
      <c r="F145" s="129"/>
      <c r="G145" s="130"/>
      <c r="H145" s="102">
        <f t="shared" ref="H145:H148" si="71">SUM(D145:G145)</f>
        <v>203.2</v>
      </c>
      <c r="I145" s="131" t="s">
        <v>34</v>
      </c>
      <c r="J145" s="35">
        <v>800</v>
      </c>
      <c r="K145" s="101">
        <v>2540</v>
      </c>
      <c r="L145" s="132"/>
      <c r="M145" s="105"/>
      <c r="N145" s="33"/>
      <c r="O145" s="133"/>
      <c r="P145" s="20"/>
      <c r="Q145" s="20"/>
      <c r="R145" s="20"/>
      <c r="S145" s="20"/>
      <c r="T145" s="20"/>
      <c r="U145" s="20"/>
      <c r="V145" s="6"/>
      <c r="X145" s="6"/>
      <c r="Y145" s="6"/>
    </row>
    <row r="146" s="2" customFormat="1" ht="15" customHeight="1" spans="2:25">
      <c r="B146" s="127">
        <f t="shared" ref="B146:B148" si="72">B145+1</f>
        <v>2</v>
      </c>
      <c r="C146" s="134" t="s">
        <v>284</v>
      </c>
      <c r="D146" s="101">
        <f t="shared" si="70"/>
        <v>29.57</v>
      </c>
      <c r="E146" s="129"/>
      <c r="F146" s="129"/>
      <c r="G146" s="130"/>
      <c r="H146" s="102">
        <f t="shared" si="71"/>
        <v>29.57</v>
      </c>
      <c r="I146" s="131" t="s">
        <v>34</v>
      </c>
      <c r="J146" s="35">
        <v>150</v>
      </c>
      <c r="K146" s="101">
        <v>1971</v>
      </c>
      <c r="L146" s="132"/>
      <c r="M146" s="105"/>
      <c r="N146" s="33"/>
      <c r="O146" s="133"/>
      <c r="P146" s="20"/>
      <c r="Q146" s="20"/>
      <c r="R146" s="20"/>
      <c r="S146" s="20"/>
      <c r="T146" s="20"/>
      <c r="U146" s="20"/>
      <c r="V146" s="6"/>
      <c r="X146" s="6"/>
      <c r="Y146" s="6"/>
    </row>
    <row r="147" s="2" customFormat="1" ht="15" hidden="1" customHeight="1" spans="2:25">
      <c r="B147" s="127">
        <f t="shared" si="72"/>
        <v>3</v>
      </c>
      <c r="C147" s="134" t="s">
        <v>246</v>
      </c>
      <c r="D147" s="101">
        <f t="shared" si="70"/>
        <v>23.05</v>
      </c>
      <c r="E147" s="129"/>
      <c r="F147" s="129"/>
      <c r="G147" s="130"/>
      <c r="H147" s="102">
        <f t="shared" si="71"/>
        <v>23.05</v>
      </c>
      <c r="I147" s="131" t="s">
        <v>119</v>
      </c>
      <c r="J147" s="35">
        <v>13</v>
      </c>
      <c r="K147" s="101">
        <v>17733</v>
      </c>
      <c r="L147" s="132"/>
      <c r="M147" s="105"/>
      <c r="N147" s="33"/>
      <c r="O147" s="133"/>
      <c r="P147" s="20"/>
      <c r="Q147" s="20"/>
      <c r="R147" s="20"/>
      <c r="S147" s="20"/>
      <c r="T147" s="20"/>
      <c r="U147" s="20"/>
      <c r="V147" s="6"/>
      <c r="X147" s="6"/>
      <c r="Y147" s="6"/>
    </row>
    <row r="148" s="2" customFormat="1" ht="15" hidden="1" customHeight="1" spans="2:25">
      <c r="B148" s="127">
        <f t="shared" si="72"/>
        <v>4</v>
      </c>
      <c r="C148" s="134" t="s">
        <v>247</v>
      </c>
      <c r="D148" s="101">
        <f t="shared" si="70"/>
        <v>12.4</v>
      </c>
      <c r="E148" s="129"/>
      <c r="F148" s="129"/>
      <c r="G148" s="130"/>
      <c r="H148" s="102">
        <f t="shared" si="71"/>
        <v>12.4</v>
      </c>
      <c r="I148" s="131" t="s">
        <v>119</v>
      </c>
      <c r="J148" s="35">
        <v>5</v>
      </c>
      <c r="K148" s="101">
        <v>24793</v>
      </c>
      <c r="L148" s="132"/>
      <c r="M148" s="105"/>
      <c r="N148" s="33"/>
      <c r="O148" s="133"/>
      <c r="P148" s="20"/>
      <c r="Q148" s="20"/>
      <c r="R148" s="20"/>
      <c r="S148" s="20"/>
      <c r="T148" s="20"/>
      <c r="U148" s="20"/>
      <c r="V148" s="6"/>
      <c r="X148" s="6"/>
      <c r="Y148" s="6"/>
    </row>
    <row r="149" s="2" customFormat="1" ht="15" hidden="1" customHeight="1" spans="2:25">
      <c r="B149" s="96" t="s">
        <v>79</v>
      </c>
      <c r="C149" s="26" t="s">
        <v>248</v>
      </c>
      <c r="D149" s="27">
        <f t="shared" ref="D149:H149" si="73">SUM(D150:D159)</f>
        <v>146.44</v>
      </c>
      <c r="E149" s="27">
        <f t="shared" si="73"/>
        <v>0</v>
      </c>
      <c r="F149" s="27">
        <f t="shared" si="73"/>
        <v>0</v>
      </c>
      <c r="G149" s="27">
        <f t="shared" si="73"/>
        <v>0</v>
      </c>
      <c r="H149" s="27">
        <f t="shared" si="73"/>
        <v>146.44</v>
      </c>
      <c r="I149" s="28" t="s">
        <v>17</v>
      </c>
      <c r="J149" s="27">
        <f>J144</f>
        <v>0.785</v>
      </c>
      <c r="K149" s="29">
        <f>H149/J149*10000</f>
        <v>1865477.70700637</v>
      </c>
      <c r="L149" s="107"/>
      <c r="M149" s="97"/>
      <c r="N149" s="33"/>
      <c r="O149" s="133"/>
      <c r="P149" s="20"/>
      <c r="Q149" s="20"/>
      <c r="R149" s="20"/>
      <c r="S149" s="20"/>
      <c r="T149" s="20"/>
      <c r="U149" s="20"/>
      <c r="V149" s="6"/>
      <c r="X149" s="6"/>
      <c r="Y149" s="6"/>
    </row>
    <row r="150" s="2" customFormat="1" ht="15" hidden="1" customHeight="1" spans="2:25">
      <c r="B150" s="127">
        <v>1</v>
      </c>
      <c r="C150" s="134" t="s">
        <v>285</v>
      </c>
      <c r="D150" s="101">
        <f t="shared" ref="D150:D159" si="74">ROUND(J150*K150/10000,2)</f>
        <v>48.03</v>
      </c>
      <c r="E150" s="129"/>
      <c r="F150" s="129"/>
      <c r="G150" s="130"/>
      <c r="H150" s="102">
        <f t="shared" ref="H150:H159" si="75">SUM(D150:G150)</f>
        <v>48.03</v>
      </c>
      <c r="I150" s="131" t="s">
        <v>52</v>
      </c>
      <c r="J150" s="35">
        <v>50</v>
      </c>
      <c r="K150" s="101">
        <v>9606</v>
      </c>
      <c r="L150" s="132"/>
      <c r="M150" s="105"/>
      <c r="N150" s="33"/>
      <c r="O150" s="133"/>
      <c r="P150" s="20"/>
      <c r="Q150" s="20"/>
      <c r="R150" s="20"/>
      <c r="S150" s="20"/>
      <c r="T150" s="20"/>
      <c r="U150" s="20"/>
      <c r="V150" s="6"/>
      <c r="X150" s="6"/>
      <c r="Y150" s="6"/>
    </row>
    <row r="151" s="2" customFormat="1" ht="15" hidden="1" customHeight="1" spans="2:25">
      <c r="B151" s="127">
        <f t="shared" ref="B151:B159" si="76">B150+1</f>
        <v>2</v>
      </c>
      <c r="C151" s="134" t="s">
        <v>250</v>
      </c>
      <c r="D151" s="101">
        <f t="shared" si="74"/>
        <v>14.14</v>
      </c>
      <c r="E151" s="129"/>
      <c r="F151" s="129"/>
      <c r="G151" s="130"/>
      <c r="H151" s="102">
        <f t="shared" si="75"/>
        <v>14.14</v>
      </c>
      <c r="I151" s="131" t="s">
        <v>52</v>
      </c>
      <c r="J151" s="35">
        <v>6</v>
      </c>
      <c r="K151" s="101">
        <v>23564</v>
      </c>
      <c r="L151" s="132"/>
      <c r="M151" s="105"/>
      <c r="N151" s="33"/>
      <c r="O151" s="133"/>
      <c r="P151" s="20"/>
      <c r="Q151" s="20"/>
      <c r="R151" s="20"/>
      <c r="S151" s="20"/>
      <c r="T151" s="20"/>
      <c r="U151" s="20"/>
      <c r="V151" s="6"/>
      <c r="X151" s="6"/>
      <c r="Y151" s="6"/>
    </row>
    <row r="152" s="2" customFormat="1" ht="15" hidden="1" customHeight="1" spans="2:25">
      <c r="B152" s="127">
        <f t="shared" si="76"/>
        <v>3</v>
      </c>
      <c r="C152" s="134" t="s">
        <v>251</v>
      </c>
      <c r="D152" s="101">
        <f t="shared" si="74"/>
        <v>17.71</v>
      </c>
      <c r="E152" s="129"/>
      <c r="F152" s="129"/>
      <c r="G152" s="130"/>
      <c r="H152" s="102">
        <f t="shared" si="75"/>
        <v>17.71</v>
      </c>
      <c r="I152" s="131" t="s">
        <v>252</v>
      </c>
      <c r="J152" s="35">
        <v>1</v>
      </c>
      <c r="K152" s="101">
        <v>177091</v>
      </c>
      <c r="L152" s="132"/>
      <c r="M152" s="105"/>
      <c r="N152" s="33"/>
      <c r="O152" s="133"/>
      <c r="P152" s="20"/>
      <c r="Q152" s="20"/>
      <c r="R152" s="20"/>
      <c r="S152" s="20"/>
      <c r="T152" s="20"/>
      <c r="U152" s="20"/>
      <c r="V152" s="6"/>
      <c r="X152" s="6"/>
      <c r="Y152" s="6"/>
    </row>
    <row r="153" s="2" customFormat="1" ht="15" hidden="1" customHeight="1" spans="2:25">
      <c r="B153" s="127">
        <f t="shared" si="76"/>
        <v>4</v>
      </c>
      <c r="C153" s="134" t="s">
        <v>253</v>
      </c>
      <c r="D153" s="101">
        <f t="shared" si="74"/>
        <v>4.88</v>
      </c>
      <c r="E153" s="129"/>
      <c r="F153" s="129"/>
      <c r="G153" s="130"/>
      <c r="H153" s="102">
        <f t="shared" si="75"/>
        <v>4.88</v>
      </c>
      <c r="I153" s="131" t="s">
        <v>252</v>
      </c>
      <c r="J153" s="35">
        <v>1</v>
      </c>
      <c r="K153" s="101">
        <v>48762</v>
      </c>
      <c r="L153" s="132"/>
      <c r="M153" s="105"/>
      <c r="N153" s="33"/>
      <c r="O153" s="133"/>
      <c r="P153" s="20"/>
      <c r="Q153" s="20"/>
      <c r="R153" s="20"/>
      <c r="S153" s="20"/>
      <c r="T153" s="20"/>
      <c r="U153" s="20"/>
      <c r="V153" s="6"/>
      <c r="X153" s="6"/>
      <c r="Y153" s="6"/>
    </row>
    <row r="154" s="2" customFormat="1" ht="15" hidden="1" customHeight="1" spans="2:25">
      <c r="B154" s="127">
        <f t="shared" si="76"/>
        <v>5</v>
      </c>
      <c r="C154" s="134" t="s">
        <v>254</v>
      </c>
      <c r="D154" s="101">
        <f t="shared" si="74"/>
        <v>3.26</v>
      </c>
      <c r="E154" s="129"/>
      <c r="F154" s="129"/>
      <c r="G154" s="130"/>
      <c r="H154" s="102">
        <f t="shared" si="75"/>
        <v>3.26</v>
      </c>
      <c r="I154" s="131" t="s">
        <v>119</v>
      </c>
      <c r="J154" s="35">
        <v>15</v>
      </c>
      <c r="K154" s="101">
        <v>2176</v>
      </c>
      <c r="L154" s="132"/>
      <c r="M154" s="105"/>
      <c r="N154" s="33"/>
      <c r="O154" s="133"/>
      <c r="P154" s="20"/>
      <c r="Q154" s="20"/>
      <c r="R154" s="20"/>
      <c r="S154" s="20"/>
      <c r="T154" s="20"/>
      <c r="U154" s="20"/>
      <c r="V154" s="6"/>
      <c r="X154" s="6"/>
      <c r="Y154" s="6"/>
    </row>
    <row r="155" s="2" customFormat="1" ht="15" customHeight="1" spans="2:25">
      <c r="B155" s="127">
        <f t="shared" si="76"/>
        <v>6</v>
      </c>
      <c r="C155" s="134" t="s">
        <v>255</v>
      </c>
      <c r="D155" s="101">
        <f t="shared" si="74"/>
        <v>32.36</v>
      </c>
      <c r="E155" s="129"/>
      <c r="F155" s="129"/>
      <c r="G155" s="130"/>
      <c r="H155" s="102">
        <f t="shared" si="75"/>
        <v>32.36</v>
      </c>
      <c r="I155" s="131" t="s">
        <v>34</v>
      </c>
      <c r="J155" s="35">
        <v>1860</v>
      </c>
      <c r="K155" s="101">
        <v>174</v>
      </c>
      <c r="L155" s="132"/>
      <c r="M155" s="105"/>
      <c r="N155" s="33"/>
      <c r="O155" s="133"/>
      <c r="P155" s="20"/>
      <c r="Q155" s="20"/>
      <c r="R155" s="20"/>
      <c r="S155" s="20"/>
      <c r="T155" s="20"/>
      <c r="U155" s="20"/>
      <c r="V155" s="6"/>
      <c r="X155" s="6"/>
      <c r="Y155" s="6"/>
    </row>
    <row r="156" s="2" customFormat="1" ht="15" customHeight="1" spans="2:25">
      <c r="B156" s="127">
        <f t="shared" si="76"/>
        <v>7</v>
      </c>
      <c r="C156" s="134" t="s">
        <v>256</v>
      </c>
      <c r="D156" s="101">
        <f t="shared" si="74"/>
        <v>19.72</v>
      </c>
      <c r="E156" s="129"/>
      <c r="F156" s="129"/>
      <c r="G156" s="130"/>
      <c r="H156" s="102">
        <f t="shared" si="75"/>
        <v>19.72</v>
      </c>
      <c r="I156" s="131" t="s">
        <v>34</v>
      </c>
      <c r="J156" s="35">
        <v>1700</v>
      </c>
      <c r="K156" s="101">
        <v>116</v>
      </c>
      <c r="L156" s="132"/>
      <c r="M156" s="105"/>
      <c r="N156" s="33"/>
      <c r="O156" s="133"/>
      <c r="P156" s="20"/>
      <c r="Q156" s="20"/>
      <c r="R156" s="20"/>
      <c r="S156" s="20"/>
      <c r="T156" s="20"/>
      <c r="U156" s="20"/>
      <c r="V156" s="6"/>
      <c r="X156" s="6"/>
      <c r="Y156" s="6"/>
    </row>
    <row r="157" s="2" customFormat="1" ht="15" hidden="1" customHeight="1" spans="2:25">
      <c r="B157" s="127">
        <f t="shared" si="76"/>
        <v>8</v>
      </c>
      <c r="C157" s="134" t="s">
        <v>257</v>
      </c>
      <c r="D157" s="101">
        <f t="shared" si="74"/>
        <v>4.99</v>
      </c>
      <c r="E157" s="129"/>
      <c r="F157" s="129"/>
      <c r="G157" s="130"/>
      <c r="H157" s="102">
        <f t="shared" si="75"/>
        <v>4.99</v>
      </c>
      <c r="I157" s="131" t="s">
        <v>49</v>
      </c>
      <c r="J157" s="35">
        <v>320</v>
      </c>
      <c r="K157" s="101">
        <v>156</v>
      </c>
      <c r="L157" s="132"/>
      <c r="M157" s="105"/>
      <c r="N157" s="33"/>
      <c r="O157" s="133"/>
      <c r="P157" s="20"/>
      <c r="Q157" s="20"/>
      <c r="R157" s="20"/>
      <c r="S157" s="20"/>
      <c r="T157" s="20"/>
      <c r="U157" s="20"/>
      <c r="V157" s="6"/>
      <c r="X157" s="6"/>
      <c r="Y157" s="6"/>
    </row>
    <row r="158" s="2" customFormat="1" ht="15" customHeight="1" spans="2:25">
      <c r="B158" s="127">
        <f t="shared" si="76"/>
        <v>9</v>
      </c>
      <c r="C158" s="134" t="s">
        <v>258</v>
      </c>
      <c r="D158" s="101">
        <f t="shared" si="74"/>
        <v>0.36</v>
      </c>
      <c r="E158" s="129"/>
      <c r="F158" s="129"/>
      <c r="G158" s="130"/>
      <c r="H158" s="102">
        <f t="shared" si="75"/>
        <v>0.36</v>
      </c>
      <c r="I158" s="131" t="s">
        <v>34</v>
      </c>
      <c r="J158" s="35">
        <v>120</v>
      </c>
      <c r="K158" s="101">
        <v>30</v>
      </c>
      <c r="L158" s="132"/>
      <c r="M158" s="105"/>
      <c r="N158" s="33"/>
      <c r="O158" s="133"/>
      <c r="P158" s="20"/>
      <c r="Q158" s="20"/>
      <c r="R158" s="20"/>
      <c r="S158" s="20"/>
      <c r="T158" s="20"/>
      <c r="U158" s="20"/>
      <c r="V158" s="6"/>
      <c r="X158" s="6"/>
      <c r="Y158" s="6"/>
    </row>
    <row r="159" s="2" customFormat="1" ht="15" hidden="1" customHeight="1" spans="2:25">
      <c r="B159" s="127">
        <f t="shared" si="76"/>
        <v>10</v>
      </c>
      <c r="C159" s="134" t="s">
        <v>243</v>
      </c>
      <c r="D159" s="101">
        <f t="shared" si="74"/>
        <v>0.99</v>
      </c>
      <c r="E159" s="129"/>
      <c r="F159" s="129"/>
      <c r="G159" s="130"/>
      <c r="H159" s="102">
        <f t="shared" si="75"/>
        <v>0.99</v>
      </c>
      <c r="I159" s="131" t="s">
        <v>49</v>
      </c>
      <c r="J159" s="35">
        <v>68</v>
      </c>
      <c r="K159" s="101">
        <v>145</v>
      </c>
      <c r="L159" s="132"/>
      <c r="M159" s="105"/>
      <c r="N159" s="33"/>
      <c r="O159" s="133"/>
      <c r="P159" s="20"/>
      <c r="Q159" s="20"/>
      <c r="R159" s="20"/>
      <c r="S159" s="20"/>
      <c r="T159" s="20"/>
      <c r="U159" s="20"/>
      <c r="V159" s="6"/>
      <c r="X159" s="6"/>
      <c r="Y159" s="6"/>
    </row>
    <row r="160" ht="15" hidden="1" customHeight="1" spans="2:25">
      <c r="B160" s="96" t="s">
        <v>84</v>
      </c>
      <c r="C160" s="26" t="s">
        <v>259</v>
      </c>
      <c r="D160" s="27">
        <f t="shared" ref="D160:H160" si="77">SUM(D161:D169)</f>
        <v>93.78</v>
      </c>
      <c r="E160" s="27">
        <f t="shared" si="77"/>
        <v>0</v>
      </c>
      <c r="F160" s="27">
        <f t="shared" si="77"/>
        <v>0</v>
      </c>
      <c r="G160" s="27">
        <f t="shared" si="77"/>
        <v>0</v>
      </c>
      <c r="H160" s="27">
        <f t="shared" si="77"/>
        <v>93.78</v>
      </c>
      <c r="I160" s="28" t="s">
        <v>17</v>
      </c>
      <c r="J160" s="27">
        <f>J89</f>
        <v>0.785</v>
      </c>
      <c r="K160" s="29">
        <f>H160*10000/J160</f>
        <v>1194649.68152866</v>
      </c>
      <c r="L160" s="147"/>
      <c r="M160" s="148"/>
      <c r="N160" s="149"/>
      <c r="O160" s="149"/>
      <c r="P160" s="20"/>
      <c r="Q160" s="20"/>
      <c r="R160" s="20"/>
      <c r="S160" s="20"/>
      <c r="T160" s="20"/>
      <c r="U160" s="20"/>
      <c r="V160" s="34"/>
      <c r="W160" s="2"/>
    </row>
    <row r="161" ht="15" customHeight="1" spans="2:23">
      <c r="B161" s="150">
        <v>1</v>
      </c>
      <c r="C161" s="100" t="s">
        <v>260</v>
      </c>
      <c r="D161" s="101">
        <f t="shared" ref="D161:D169" si="78">ROUND(J161*K161/10000,2)</f>
        <v>39.25</v>
      </c>
      <c r="E161" s="101"/>
      <c r="F161" s="21"/>
      <c r="G161" s="103"/>
      <c r="H161" s="102">
        <f t="shared" ref="H161:H169" si="79">SUM(D161:G161)</f>
        <v>39.25</v>
      </c>
      <c r="I161" s="103" t="s">
        <v>34</v>
      </c>
      <c r="J161" s="35">
        <f>785</f>
        <v>785</v>
      </c>
      <c r="K161" s="101">
        <f>500000/1000</f>
        <v>500</v>
      </c>
      <c r="L161" s="23"/>
      <c r="M161" s="151"/>
      <c r="N161" s="33">
        <f t="shared" ref="N161:N169" si="80">K161/1.05*1.03</f>
        <v>490.47619047619</v>
      </c>
      <c r="O161" s="152">
        <v>73.2</v>
      </c>
      <c r="P161" s="20"/>
      <c r="Q161" s="20"/>
      <c r="R161" s="20"/>
      <c r="S161" s="20"/>
      <c r="T161" s="20"/>
      <c r="U161" s="20"/>
      <c r="W161" s="2"/>
    </row>
    <row r="162" ht="15" hidden="1" customHeight="1" spans="2:23">
      <c r="B162" s="150">
        <v>2</v>
      </c>
      <c r="C162" s="100" t="s">
        <v>261</v>
      </c>
      <c r="D162" s="101">
        <f t="shared" si="78"/>
        <v>0</v>
      </c>
      <c r="E162" s="101"/>
      <c r="F162" s="21"/>
      <c r="G162" s="103"/>
      <c r="H162" s="102">
        <f t="shared" si="79"/>
        <v>0</v>
      </c>
      <c r="I162" s="103" t="s">
        <v>49</v>
      </c>
      <c r="J162" s="35">
        <f t="shared" ref="J162:J167" si="81">SUM(P162:T162)</f>
        <v>0</v>
      </c>
      <c r="K162" s="101">
        <v>66111.6094285714</v>
      </c>
      <c r="L162" s="23"/>
      <c r="M162" s="151"/>
      <c r="N162" s="33">
        <f t="shared" si="80"/>
        <v>64852.340677551</v>
      </c>
      <c r="O162" s="152">
        <v>67395.33</v>
      </c>
      <c r="P162" s="20"/>
      <c r="Q162" s="20"/>
      <c r="R162" s="20"/>
      <c r="S162" s="20"/>
      <c r="T162" s="20"/>
      <c r="U162" s="20"/>
      <c r="W162" s="2"/>
    </row>
    <row r="163" ht="15" hidden="1" customHeight="1" spans="2:23">
      <c r="B163" s="150">
        <v>3</v>
      </c>
      <c r="C163" s="100" t="s">
        <v>262</v>
      </c>
      <c r="D163" s="101">
        <f t="shared" si="78"/>
        <v>0</v>
      </c>
      <c r="E163" s="101"/>
      <c r="F163" s="21"/>
      <c r="G163" s="103"/>
      <c r="H163" s="102">
        <f t="shared" si="79"/>
        <v>0</v>
      </c>
      <c r="I163" s="103" t="s">
        <v>49</v>
      </c>
      <c r="J163" s="35">
        <f t="shared" si="81"/>
        <v>0</v>
      </c>
      <c r="K163" s="101">
        <v>18836.2476190476</v>
      </c>
      <c r="L163" s="23"/>
      <c r="M163" s="151"/>
      <c r="N163" s="33">
        <f t="shared" si="80"/>
        <v>18477.4619501134</v>
      </c>
      <c r="O163" s="152">
        <v>19202</v>
      </c>
      <c r="P163" s="20"/>
      <c r="Q163" s="20"/>
      <c r="R163" s="20"/>
      <c r="S163" s="20"/>
      <c r="T163" s="20"/>
      <c r="U163" s="20"/>
      <c r="W163" s="2"/>
    </row>
    <row r="164" ht="15" hidden="1" customHeight="1" spans="2:23">
      <c r="B164" s="150">
        <v>4</v>
      </c>
      <c r="C164" s="100" t="s">
        <v>263</v>
      </c>
      <c r="D164" s="101">
        <f t="shared" si="78"/>
        <v>0</v>
      </c>
      <c r="E164" s="101"/>
      <c r="F164" s="21"/>
      <c r="G164" s="103"/>
      <c r="H164" s="102">
        <f t="shared" si="79"/>
        <v>0</v>
      </c>
      <c r="I164" s="103" t="s">
        <v>49</v>
      </c>
      <c r="J164" s="35">
        <f t="shared" si="81"/>
        <v>0</v>
      </c>
      <c r="K164" s="101">
        <v>16667.3619047619</v>
      </c>
      <c r="L164" s="23"/>
      <c r="M164" s="151"/>
      <c r="N164" s="33">
        <f t="shared" si="80"/>
        <v>16349.8883446712</v>
      </c>
      <c r="O164" s="152">
        <v>16991</v>
      </c>
      <c r="P164" s="20"/>
      <c r="Q164" s="20"/>
      <c r="R164" s="20"/>
      <c r="S164" s="20"/>
      <c r="T164" s="20"/>
      <c r="U164" s="20"/>
      <c r="W164" s="2"/>
    </row>
    <row r="165" ht="15" hidden="1" customHeight="1" spans="2:23">
      <c r="B165" s="150">
        <v>5</v>
      </c>
      <c r="C165" s="100" t="s">
        <v>264</v>
      </c>
      <c r="D165" s="101">
        <f t="shared" si="78"/>
        <v>0</v>
      </c>
      <c r="E165" s="101"/>
      <c r="F165" s="21"/>
      <c r="G165" s="103"/>
      <c r="H165" s="102">
        <f t="shared" si="79"/>
        <v>0</v>
      </c>
      <c r="I165" s="103" t="s">
        <v>49</v>
      </c>
      <c r="J165" s="35">
        <f t="shared" si="81"/>
        <v>0</v>
      </c>
      <c r="K165" s="101">
        <v>5232.4</v>
      </c>
      <c r="L165" s="23"/>
      <c r="M165" s="151"/>
      <c r="N165" s="33">
        <f t="shared" si="80"/>
        <v>5132.73523809524</v>
      </c>
      <c r="O165" s="152">
        <v>5334</v>
      </c>
      <c r="P165" s="20"/>
      <c r="Q165" s="20"/>
      <c r="R165" s="20"/>
      <c r="S165" s="20"/>
      <c r="T165" s="20"/>
      <c r="U165" s="20"/>
      <c r="W165" s="2"/>
    </row>
    <row r="166" ht="15" hidden="1" customHeight="1" spans="2:23">
      <c r="B166" s="150">
        <v>6</v>
      </c>
      <c r="C166" s="100" t="s">
        <v>265</v>
      </c>
      <c r="D166" s="101">
        <f t="shared" si="78"/>
        <v>0</v>
      </c>
      <c r="E166" s="101"/>
      <c r="F166" s="21"/>
      <c r="G166" s="103"/>
      <c r="H166" s="102">
        <f t="shared" si="79"/>
        <v>0</v>
      </c>
      <c r="I166" s="103" t="s">
        <v>49</v>
      </c>
      <c r="J166" s="35">
        <f t="shared" si="81"/>
        <v>0</v>
      </c>
      <c r="K166" s="101">
        <v>1422.62619047619</v>
      </c>
      <c r="L166" s="23"/>
      <c r="M166" s="151"/>
      <c r="N166" s="33">
        <f t="shared" si="80"/>
        <v>1395.52854875283</v>
      </c>
      <c r="O166" s="152">
        <v>1450.25</v>
      </c>
      <c r="P166" s="20"/>
      <c r="Q166" s="20"/>
      <c r="R166" s="20"/>
      <c r="S166" s="20"/>
      <c r="T166" s="20"/>
      <c r="U166" s="20"/>
      <c r="W166" s="2"/>
    </row>
    <row r="167" ht="15" hidden="1" customHeight="1" spans="2:23">
      <c r="B167" s="150">
        <v>7</v>
      </c>
      <c r="C167" s="40" t="s">
        <v>266</v>
      </c>
      <c r="D167" s="101">
        <f t="shared" si="78"/>
        <v>0</v>
      </c>
      <c r="E167" s="101"/>
      <c r="F167" s="35"/>
      <c r="G167" s="102"/>
      <c r="H167" s="102">
        <f t="shared" si="79"/>
        <v>0</v>
      </c>
      <c r="I167" s="103" t="s">
        <v>49</v>
      </c>
      <c r="J167" s="35">
        <f t="shared" si="81"/>
        <v>0</v>
      </c>
      <c r="K167" s="101">
        <v>1906.97142857143</v>
      </c>
      <c r="L167" s="153"/>
      <c r="M167" s="105"/>
      <c r="N167" s="33">
        <f t="shared" si="80"/>
        <v>1870.64816326531</v>
      </c>
      <c r="O167" s="133">
        <v>1944</v>
      </c>
      <c r="P167" s="20"/>
      <c r="Q167" s="20"/>
      <c r="R167" s="20"/>
      <c r="S167" s="20"/>
      <c r="T167" s="20"/>
      <c r="U167" s="20"/>
      <c r="W167" s="2"/>
    </row>
    <row r="168" ht="15" customHeight="1" spans="2:23">
      <c r="B168" s="150">
        <v>8</v>
      </c>
      <c r="C168" s="40" t="s">
        <v>267</v>
      </c>
      <c r="D168" s="101">
        <f t="shared" si="78"/>
        <v>28.64</v>
      </c>
      <c r="E168" s="101"/>
      <c r="F168" s="35"/>
      <c r="G168" s="102"/>
      <c r="H168" s="102">
        <f t="shared" si="79"/>
        <v>28.64</v>
      </c>
      <c r="I168" s="103" t="s">
        <v>34</v>
      </c>
      <c r="J168" s="35">
        <v>740</v>
      </c>
      <c r="K168" s="101">
        <v>387</v>
      </c>
      <c r="L168" s="153"/>
      <c r="M168" s="105"/>
      <c r="N168" s="33">
        <f t="shared" si="80"/>
        <v>379.628571428571</v>
      </c>
      <c r="O168" s="133">
        <v>283.16</v>
      </c>
      <c r="P168" s="20"/>
      <c r="Q168" s="20"/>
      <c r="R168" s="20"/>
      <c r="S168" s="20"/>
      <c r="T168" s="20"/>
      <c r="U168" s="20"/>
      <c r="W168" s="2"/>
    </row>
    <row r="169" ht="15" customHeight="1" spans="2:23">
      <c r="B169" s="150">
        <v>9</v>
      </c>
      <c r="C169" s="40" t="s">
        <v>268</v>
      </c>
      <c r="D169" s="101">
        <f t="shared" si="78"/>
        <v>25.89</v>
      </c>
      <c r="E169" s="101"/>
      <c r="F169" s="35"/>
      <c r="G169" s="102"/>
      <c r="H169" s="102">
        <f t="shared" si="79"/>
        <v>25.89</v>
      </c>
      <c r="I169" s="103" t="s">
        <v>34</v>
      </c>
      <c r="J169" s="35">
        <v>835</v>
      </c>
      <c r="K169" s="101">
        <v>310</v>
      </c>
      <c r="L169" s="153"/>
      <c r="M169" s="105"/>
      <c r="N169" s="33">
        <f t="shared" si="80"/>
        <v>304.095238095238</v>
      </c>
      <c r="O169" s="133">
        <v>283.16</v>
      </c>
      <c r="P169" s="20"/>
      <c r="Q169" s="20"/>
      <c r="R169" s="20"/>
      <c r="S169" s="20"/>
      <c r="T169" s="20"/>
      <c r="U169" s="20"/>
      <c r="W169" s="2"/>
    </row>
    <row r="170" ht="15" hidden="1" customHeight="1" spans="2:23">
      <c r="B170" s="154" t="s">
        <v>89</v>
      </c>
      <c r="C170" s="155" t="s">
        <v>269</v>
      </c>
      <c r="D170" s="45">
        <f t="shared" ref="D170:H170" si="82">SUM(D171:D171)</f>
        <v>0</v>
      </c>
      <c r="E170" s="45">
        <f t="shared" si="82"/>
        <v>0</v>
      </c>
      <c r="F170" s="45">
        <f t="shared" si="82"/>
        <v>0</v>
      </c>
      <c r="G170" s="45">
        <f t="shared" si="82"/>
        <v>0</v>
      </c>
      <c r="H170" s="45">
        <f t="shared" si="82"/>
        <v>0</v>
      </c>
      <c r="I170" s="28" t="s">
        <v>17</v>
      </c>
      <c r="J170" s="28">
        <f>J89</f>
        <v>0.785</v>
      </c>
      <c r="K170" s="29">
        <f>H170*10000/J170</f>
        <v>0</v>
      </c>
      <c r="L170" s="107"/>
      <c r="M170" s="105"/>
      <c r="N170" s="33"/>
      <c r="O170" s="33"/>
      <c r="P170" s="20"/>
      <c r="Q170" s="20"/>
      <c r="R170" s="20"/>
      <c r="S170" s="20"/>
      <c r="T170" s="20"/>
      <c r="U170" s="20"/>
      <c r="V170" s="20"/>
      <c r="W170" s="2"/>
    </row>
    <row r="171" ht="15" hidden="1" customHeight="1" spans="2:23">
      <c r="B171" s="150">
        <v>1</v>
      </c>
      <c r="C171" s="156" t="s">
        <v>269</v>
      </c>
      <c r="D171" s="45"/>
      <c r="E171" s="101">
        <f>ROUND(J171*K171/10000,2)</f>
        <v>0</v>
      </c>
      <c r="F171" s="21"/>
      <c r="G171" s="103"/>
      <c r="H171" s="102">
        <f t="shared" ref="H171:H175" si="83">SUM(D171:G171)</f>
        <v>0</v>
      </c>
      <c r="I171" s="35" t="s">
        <v>49</v>
      </c>
      <c r="J171" s="35">
        <v>0</v>
      </c>
      <c r="K171" s="101">
        <v>490476.19047619</v>
      </c>
      <c r="L171" s="107"/>
      <c r="M171" s="105"/>
      <c r="N171" s="33">
        <f t="shared" ref="N171:N175" si="84">K171/1.05*1.03</f>
        <v>481133.786848072</v>
      </c>
      <c r="O171" s="133">
        <v>500000</v>
      </c>
      <c r="P171" s="20"/>
      <c r="Q171" s="20"/>
      <c r="R171" s="20"/>
      <c r="S171" s="20"/>
      <c r="T171" s="20"/>
      <c r="U171" s="20"/>
      <c r="V171" s="20"/>
      <c r="W171" s="2"/>
    </row>
    <row r="172" ht="15" hidden="1" customHeight="1" spans="2:23">
      <c r="B172" s="96">
        <v>1.3</v>
      </c>
      <c r="C172" s="26" t="s">
        <v>179</v>
      </c>
      <c r="D172" s="27">
        <f t="shared" ref="D172:H172" si="85">D173+D176+D198+D211+D217+D223+D230+D235+D246+D256</f>
        <v>4877.08</v>
      </c>
      <c r="E172" s="27">
        <f t="shared" si="85"/>
        <v>0</v>
      </c>
      <c r="F172" s="27">
        <f t="shared" si="85"/>
        <v>0</v>
      </c>
      <c r="G172" s="27">
        <f t="shared" si="85"/>
        <v>0</v>
      </c>
      <c r="H172" s="27">
        <f t="shared" si="85"/>
        <v>4877.08</v>
      </c>
      <c r="I172" s="28" t="s">
        <v>17</v>
      </c>
      <c r="J172" s="27">
        <f>R2</f>
        <v>1.3</v>
      </c>
      <c r="K172" s="29">
        <f>H172/J172*10000</f>
        <v>37516000</v>
      </c>
      <c r="L172" s="30"/>
      <c r="M172" s="97"/>
      <c r="N172" s="32"/>
      <c r="O172" s="32"/>
      <c r="P172" s="20"/>
      <c r="Q172" s="20"/>
      <c r="R172" s="20"/>
      <c r="S172" s="20"/>
      <c r="T172" s="20"/>
      <c r="U172" s="20"/>
      <c r="V172" s="34"/>
      <c r="W172" s="2"/>
    </row>
    <row r="173" ht="15" hidden="1" customHeight="1" spans="2:23">
      <c r="B173" s="96" t="s">
        <v>19</v>
      </c>
      <c r="C173" s="26" t="s">
        <v>20</v>
      </c>
      <c r="D173" s="27">
        <f>SUM(D174:D175)</f>
        <v>31.63</v>
      </c>
      <c r="E173" s="27">
        <f t="shared" ref="E173:G173" si="86">SUM(E174:E182)</f>
        <v>0</v>
      </c>
      <c r="F173" s="27">
        <f t="shared" si="86"/>
        <v>0</v>
      </c>
      <c r="G173" s="27">
        <f t="shared" si="86"/>
        <v>0</v>
      </c>
      <c r="H173" s="27">
        <f>SUM(H174:H175)</f>
        <v>31.63</v>
      </c>
      <c r="I173" s="28" t="s">
        <v>17</v>
      </c>
      <c r="J173" s="27">
        <f>J172</f>
        <v>1.3</v>
      </c>
      <c r="K173" s="29">
        <f>H173/J173*10000</f>
        <v>243307.692307692</v>
      </c>
      <c r="L173" s="98"/>
      <c r="M173" s="97"/>
      <c r="N173" s="32"/>
      <c r="O173" s="32"/>
      <c r="P173" s="20"/>
      <c r="Q173" s="20"/>
      <c r="R173" s="20"/>
      <c r="S173" s="20"/>
      <c r="T173" s="20"/>
      <c r="U173" s="20"/>
      <c r="V173" s="20"/>
      <c r="W173" s="2"/>
    </row>
    <row r="174" ht="15" hidden="1" customHeight="1" spans="2:23">
      <c r="B174" s="99">
        <v>1</v>
      </c>
      <c r="C174" s="100" t="s">
        <v>197</v>
      </c>
      <c r="D174" s="101">
        <f t="shared" ref="D174:D197" si="87">ROUND(J174*K174/10000,2)</f>
        <v>29.63</v>
      </c>
      <c r="E174" s="35"/>
      <c r="F174" s="35"/>
      <c r="G174" s="102"/>
      <c r="H174" s="102">
        <f t="shared" si="83"/>
        <v>29.63</v>
      </c>
      <c r="I174" s="103" t="s">
        <v>22</v>
      </c>
      <c r="J174" s="35">
        <f>10293*0.3+20020*0.19</f>
        <v>6891.7</v>
      </c>
      <c r="K174" s="101">
        <v>43</v>
      </c>
      <c r="L174" s="104"/>
      <c r="M174" s="105"/>
      <c r="N174" s="33">
        <f t="shared" si="84"/>
        <v>42.1809523809524</v>
      </c>
      <c r="O174" s="106">
        <v>14.05</v>
      </c>
      <c r="P174" s="20"/>
      <c r="Q174" s="20"/>
      <c r="R174" s="20"/>
      <c r="S174" s="20"/>
      <c r="T174" s="20"/>
      <c r="U174" s="20"/>
      <c r="W174" s="2"/>
    </row>
    <row r="175" ht="15" hidden="1" customHeight="1" spans="2:23">
      <c r="B175" s="99">
        <v>2</v>
      </c>
      <c r="C175" s="100" t="s">
        <v>198</v>
      </c>
      <c r="D175" s="101">
        <f t="shared" si="87"/>
        <v>2</v>
      </c>
      <c r="E175" s="21"/>
      <c r="F175" s="21"/>
      <c r="G175" s="103"/>
      <c r="H175" s="102">
        <f t="shared" si="83"/>
        <v>2</v>
      </c>
      <c r="I175" s="103" t="s">
        <v>27</v>
      </c>
      <c r="J175" s="35">
        <v>20020</v>
      </c>
      <c r="K175" s="101">
        <v>1</v>
      </c>
      <c r="L175" s="18"/>
      <c r="M175" s="105"/>
      <c r="N175" s="33">
        <f t="shared" si="84"/>
        <v>0.980952380952381</v>
      </c>
      <c r="O175" s="106">
        <v>14.67</v>
      </c>
      <c r="P175" s="20"/>
      <c r="Q175" s="20"/>
      <c r="R175" s="20"/>
      <c r="S175" s="20"/>
      <c r="T175" s="20"/>
      <c r="U175" s="20"/>
      <c r="W175" s="2"/>
    </row>
    <row r="176" ht="15" hidden="1" customHeight="1" spans="2:23">
      <c r="B176" s="96" t="s">
        <v>39</v>
      </c>
      <c r="C176" s="26" t="s">
        <v>40</v>
      </c>
      <c r="D176" s="27">
        <f>SUM(D177:D197)</f>
        <v>1537.36</v>
      </c>
      <c r="E176" s="27">
        <f t="shared" ref="E176:G176" si="88">SUM(E177:E185)</f>
        <v>0</v>
      </c>
      <c r="F176" s="27">
        <f t="shared" si="88"/>
        <v>0</v>
      </c>
      <c r="G176" s="27">
        <f t="shared" si="88"/>
        <v>0</v>
      </c>
      <c r="H176" s="27">
        <f>SUM(H177:H197)</f>
        <v>1537.36</v>
      </c>
      <c r="I176" s="28" t="s">
        <v>27</v>
      </c>
      <c r="J176" s="27">
        <f>J182+J192</f>
        <v>28508</v>
      </c>
      <c r="K176" s="29">
        <f>H176*10000/J176</f>
        <v>539.273186473972</v>
      </c>
      <c r="L176" s="107"/>
      <c r="M176" s="97"/>
      <c r="N176" s="32"/>
      <c r="O176" s="32"/>
      <c r="P176" s="20"/>
      <c r="Q176" s="20"/>
      <c r="R176" s="20"/>
      <c r="S176" s="20"/>
      <c r="T176" s="20"/>
      <c r="U176" s="20"/>
      <c r="V176" s="34"/>
      <c r="W176" s="2"/>
    </row>
    <row r="177" s="83" customFormat="1" ht="15" hidden="1" customHeight="1" spans="2:25">
      <c r="B177" s="108">
        <v>1</v>
      </c>
      <c r="C177" s="109" t="s">
        <v>199</v>
      </c>
      <c r="D177" s="110">
        <f t="shared" si="87"/>
        <v>112.93</v>
      </c>
      <c r="E177" s="111"/>
      <c r="F177" s="111"/>
      <c r="G177" s="112"/>
      <c r="H177" s="113">
        <f t="shared" ref="H177:H197" si="89">SUM(D177:G177)</f>
        <v>112.93</v>
      </c>
      <c r="I177" s="112" t="s">
        <v>27</v>
      </c>
      <c r="J177" s="114">
        <v>18215</v>
      </c>
      <c r="K177" s="110">
        <v>62</v>
      </c>
      <c r="L177" s="115"/>
      <c r="M177" s="116"/>
      <c r="N177" s="117">
        <f t="shared" ref="N177:N197" si="90">K177/1.05*1.03</f>
        <v>60.8190476190476</v>
      </c>
      <c r="O177" s="118">
        <v>47.411</v>
      </c>
      <c r="P177" s="119">
        <f>J177*0.62</f>
        <v>11293.3</v>
      </c>
      <c r="Q177" s="119"/>
      <c r="R177" s="119"/>
      <c r="S177" s="119"/>
      <c r="T177" s="119"/>
      <c r="U177" s="119"/>
      <c r="V177" s="120"/>
      <c r="X177" s="120"/>
      <c r="Y177" s="120"/>
    </row>
    <row r="178" s="83" customFormat="1" ht="15" hidden="1" customHeight="1" spans="2:25">
      <c r="B178" s="121">
        <f t="shared" ref="B178:B197" si="91">B177+1</f>
        <v>2</v>
      </c>
      <c r="C178" s="122" t="s">
        <v>200</v>
      </c>
      <c r="D178" s="110">
        <f t="shared" si="87"/>
        <v>30.88</v>
      </c>
      <c r="E178" s="123"/>
      <c r="F178" s="123"/>
      <c r="G178" s="124"/>
      <c r="H178" s="113">
        <f t="shared" si="89"/>
        <v>30.88</v>
      </c>
      <c r="I178" s="125" t="s">
        <v>27</v>
      </c>
      <c r="J178" s="114">
        <v>10293</v>
      </c>
      <c r="K178" s="110">
        <v>30</v>
      </c>
      <c r="L178" s="126"/>
      <c r="M178" s="116"/>
      <c r="N178" s="117">
        <f t="shared" si="90"/>
        <v>29.4285714285714</v>
      </c>
      <c r="O178" s="118">
        <v>83.38</v>
      </c>
      <c r="P178" s="119">
        <f>J178*0.36</f>
        <v>3705.48</v>
      </c>
      <c r="Q178" s="119"/>
      <c r="R178" s="119"/>
      <c r="S178" s="119"/>
      <c r="T178" s="119"/>
      <c r="U178" s="119"/>
      <c r="V178" s="120"/>
      <c r="X178" s="120"/>
      <c r="Y178" s="120"/>
    </row>
    <row r="179" ht="15" customHeight="1" spans="2:25">
      <c r="B179" s="127">
        <f t="shared" si="91"/>
        <v>3</v>
      </c>
      <c r="C179" s="128" t="s">
        <v>201</v>
      </c>
      <c r="D179" s="101">
        <f t="shared" si="87"/>
        <v>3.62</v>
      </c>
      <c r="E179" s="129"/>
      <c r="F179" s="129"/>
      <c r="G179" s="130"/>
      <c r="H179" s="102">
        <f t="shared" si="89"/>
        <v>3.62</v>
      </c>
      <c r="I179" s="131" t="s">
        <v>34</v>
      </c>
      <c r="J179" s="35">
        <v>2783</v>
      </c>
      <c r="K179" s="101">
        <v>13</v>
      </c>
      <c r="L179" s="132"/>
      <c r="M179" s="105"/>
      <c r="N179" s="33">
        <f t="shared" si="90"/>
        <v>12.752380952381</v>
      </c>
      <c r="O179" s="133">
        <v>78.762</v>
      </c>
      <c r="P179" s="20"/>
      <c r="Q179" s="20"/>
      <c r="R179" s="20"/>
      <c r="S179" s="20"/>
      <c r="T179" s="20"/>
      <c r="U179" s="20"/>
      <c r="W179" s="2"/>
    </row>
    <row r="180" ht="15" customHeight="1" spans="2:25">
      <c r="B180" s="127">
        <f t="shared" si="91"/>
        <v>4</v>
      </c>
      <c r="C180" s="128" t="s">
        <v>202</v>
      </c>
      <c r="D180" s="101">
        <f t="shared" si="87"/>
        <v>2.31</v>
      </c>
      <c r="E180" s="129"/>
      <c r="F180" s="129"/>
      <c r="G180" s="130"/>
      <c r="H180" s="102">
        <f t="shared" si="89"/>
        <v>2.31</v>
      </c>
      <c r="I180" s="131" t="s">
        <v>34</v>
      </c>
      <c r="J180" s="35">
        <v>2890</v>
      </c>
      <c r="K180" s="101">
        <v>8</v>
      </c>
      <c r="L180" s="132"/>
      <c r="M180" s="105"/>
      <c r="N180" s="33">
        <f t="shared" si="90"/>
        <v>7.84761904761905</v>
      </c>
      <c r="O180" s="133">
        <v>3.434</v>
      </c>
      <c r="P180" s="20"/>
      <c r="Q180" s="20"/>
      <c r="R180" s="20"/>
      <c r="S180" s="20"/>
      <c r="T180" s="20"/>
      <c r="U180" s="20"/>
      <c r="W180" s="2"/>
    </row>
    <row r="181" ht="15" customHeight="1" spans="2:25">
      <c r="B181" s="127">
        <f t="shared" si="91"/>
        <v>5</v>
      </c>
      <c r="C181" s="128" t="s">
        <v>203</v>
      </c>
      <c r="D181" s="101">
        <f t="shared" si="87"/>
        <v>13.8</v>
      </c>
      <c r="E181" s="129"/>
      <c r="F181" s="129"/>
      <c r="G181" s="130"/>
      <c r="H181" s="102">
        <f t="shared" si="89"/>
        <v>13.8</v>
      </c>
      <c r="I181" s="131" t="s">
        <v>34</v>
      </c>
      <c r="J181" s="35">
        <v>600</v>
      </c>
      <c r="K181" s="101">
        <v>230</v>
      </c>
      <c r="L181" s="132"/>
      <c r="M181" s="105"/>
      <c r="N181" s="33">
        <f t="shared" si="90"/>
        <v>225.619047619048</v>
      </c>
      <c r="O181" s="133">
        <v>21.646</v>
      </c>
      <c r="P181" s="20"/>
      <c r="Q181" s="20"/>
      <c r="R181" s="20"/>
      <c r="S181" s="20"/>
      <c r="T181" s="20"/>
      <c r="U181" s="20"/>
      <c r="W181" s="2"/>
    </row>
    <row r="182" ht="15" hidden="1" customHeight="1" spans="2:25">
      <c r="B182" s="127">
        <f t="shared" si="91"/>
        <v>6</v>
      </c>
      <c r="C182" s="128" t="s">
        <v>204</v>
      </c>
      <c r="D182" s="101">
        <f t="shared" si="87"/>
        <v>191.26</v>
      </c>
      <c r="E182" s="129"/>
      <c r="F182" s="129"/>
      <c r="G182" s="130"/>
      <c r="H182" s="102">
        <f t="shared" si="89"/>
        <v>191.26</v>
      </c>
      <c r="I182" s="131" t="s">
        <v>27</v>
      </c>
      <c r="J182" s="35">
        <v>18215</v>
      </c>
      <c r="K182" s="101">
        <v>105</v>
      </c>
      <c r="L182" s="132"/>
      <c r="M182" s="105"/>
      <c r="N182" s="33">
        <f t="shared" si="90"/>
        <v>103</v>
      </c>
      <c r="O182" s="133">
        <v>6.15</v>
      </c>
      <c r="P182" s="20"/>
      <c r="Q182" s="20"/>
      <c r="R182" s="20"/>
      <c r="S182" s="20"/>
      <c r="T182" s="20"/>
      <c r="U182" s="20"/>
      <c r="W182" s="2"/>
    </row>
    <row r="183" ht="15" hidden="1" customHeight="1" spans="2:25">
      <c r="B183" s="127">
        <f t="shared" si="91"/>
        <v>7</v>
      </c>
      <c r="C183" s="128" t="s">
        <v>205</v>
      </c>
      <c r="D183" s="101">
        <f t="shared" si="87"/>
        <v>0</v>
      </c>
      <c r="E183" s="129"/>
      <c r="F183" s="129"/>
      <c r="G183" s="130"/>
      <c r="H183" s="102">
        <f t="shared" si="89"/>
        <v>0</v>
      </c>
      <c r="I183" s="131" t="s">
        <v>27</v>
      </c>
      <c r="J183" s="35">
        <v>0</v>
      </c>
      <c r="K183" s="101">
        <v>98</v>
      </c>
      <c r="L183" s="132"/>
      <c r="M183" s="105"/>
      <c r="N183" s="33">
        <f t="shared" si="90"/>
        <v>96.1333333333333</v>
      </c>
      <c r="O183" s="133">
        <v>99.778</v>
      </c>
      <c r="P183" s="20"/>
      <c r="Q183" s="20"/>
      <c r="R183" s="20"/>
      <c r="S183" s="20"/>
      <c r="T183" s="20"/>
      <c r="U183" s="20"/>
      <c r="W183" s="2"/>
    </row>
    <row r="184" ht="15" hidden="1" customHeight="1" spans="2:25">
      <c r="B184" s="127">
        <f t="shared" si="91"/>
        <v>8</v>
      </c>
      <c r="C184" s="128" t="s">
        <v>206</v>
      </c>
      <c r="D184" s="101">
        <f t="shared" si="87"/>
        <v>234.97</v>
      </c>
      <c r="E184" s="129"/>
      <c r="F184" s="129"/>
      <c r="G184" s="130"/>
      <c r="H184" s="102">
        <f t="shared" si="89"/>
        <v>234.97</v>
      </c>
      <c r="I184" s="131" t="s">
        <v>27</v>
      </c>
      <c r="J184" s="35">
        <v>18215</v>
      </c>
      <c r="K184" s="101">
        <v>129</v>
      </c>
      <c r="L184" s="132"/>
      <c r="M184" s="105"/>
      <c r="N184" s="33">
        <f t="shared" si="90"/>
        <v>126.542857142857</v>
      </c>
      <c r="O184" s="133">
        <v>95.083</v>
      </c>
      <c r="P184" s="20"/>
      <c r="Q184" s="20"/>
      <c r="R184" s="20"/>
      <c r="S184" s="20"/>
      <c r="T184" s="20"/>
      <c r="U184" s="20"/>
      <c r="W184" s="2"/>
    </row>
    <row r="185" ht="15" hidden="1" customHeight="1" spans="2:25">
      <c r="B185" s="127">
        <f t="shared" si="91"/>
        <v>9</v>
      </c>
      <c r="C185" s="128" t="s">
        <v>207</v>
      </c>
      <c r="D185" s="101">
        <f t="shared" si="87"/>
        <v>0</v>
      </c>
      <c r="E185" s="129"/>
      <c r="F185" s="129"/>
      <c r="G185" s="130"/>
      <c r="H185" s="102">
        <f t="shared" si="89"/>
        <v>0</v>
      </c>
      <c r="I185" s="131" t="s">
        <v>27</v>
      </c>
      <c r="J185" s="35">
        <f t="shared" ref="J185:J190" si="92">SUM(P185:T185)</f>
        <v>0</v>
      </c>
      <c r="K185" s="101">
        <v>132</v>
      </c>
      <c r="L185" s="132"/>
      <c r="M185" s="105"/>
      <c r="N185" s="33">
        <f t="shared" si="90"/>
        <v>129.485714285714</v>
      </c>
      <c r="O185" s="133">
        <v>37.543</v>
      </c>
      <c r="P185" s="20"/>
      <c r="Q185" s="20"/>
      <c r="R185" s="20"/>
      <c r="S185" s="20"/>
      <c r="T185" s="20"/>
      <c r="U185" s="20"/>
      <c r="W185" s="2"/>
    </row>
    <row r="186" ht="15" hidden="1" customHeight="1" spans="2:25">
      <c r="B186" s="127">
        <f t="shared" si="91"/>
        <v>10</v>
      </c>
      <c r="C186" s="128" t="s">
        <v>208</v>
      </c>
      <c r="D186" s="101">
        <f t="shared" si="87"/>
        <v>40.07</v>
      </c>
      <c r="E186" s="129"/>
      <c r="F186" s="129"/>
      <c r="G186" s="130"/>
      <c r="H186" s="102">
        <f t="shared" si="89"/>
        <v>40.07</v>
      </c>
      <c r="I186" s="131" t="s">
        <v>27</v>
      </c>
      <c r="J186" s="35">
        <v>18215</v>
      </c>
      <c r="K186" s="101">
        <v>22</v>
      </c>
      <c r="L186" s="132"/>
      <c r="M186" s="105"/>
      <c r="N186" s="33">
        <f t="shared" si="90"/>
        <v>21.5809523809524</v>
      </c>
      <c r="O186" s="133">
        <v>136.246</v>
      </c>
      <c r="P186" s="20"/>
      <c r="Q186" s="20"/>
      <c r="R186" s="20"/>
      <c r="S186" s="20"/>
      <c r="T186" s="20"/>
      <c r="U186" s="20"/>
      <c r="W186" s="2"/>
    </row>
    <row r="187" ht="15" hidden="1" customHeight="1" spans="2:25">
      <c r="B187" s="127">
        <f t="shared" si="91"/>
        <v>11</v>
      </c>
      <c r="C187" s="128" t="s">
        <v>209</v>
      </c>
      <c r="D187" s="101">
        <f t="shared" si="87"/>
        <v>191.26</v>
      </c>
      <c r="E187" s="129"/>
      <c r="F187" s="129"/>
      <c r="G187" s="130"/>
      <c r="H187" s="102">
        <f t="shared" si="89"/>
        <v>191.26</v>
      </c>
      <c r="I187" s="131" t="s">
        <v>27</v>
      </c>
      <c r="J187" s="35">
        <v>18215</v>
      </c>
      <c r="K187" s="101">
        <v>105</v>
      </c>
      <c r="L187" s="132"/>
      <c r="M187" s="105"/>
      <c r="N187" s="33">
        <f t="shared" si="90"/>
        <v>103</v>
      </c>
      <c r="O187" s="133">
        <v>99.778</v>
      </c>
      <c r="P187" s="20"/>
      <c r="Q187" s="20"/>
      <c r="R187" s="20"/>
      <c r="S187" s="20"/>
      <c r="T187" s="20"/>
      <c r="U187" s="20"/>
      <c r="W187" s="2"/>
    </row>
    <row r="188" ht="15" hidden="1" customHeight="1" spans="2:25">
      <c r="B188" s="127">
        <f t="shared" si="91"/>
        <v>12</v>
      </c>
      <c r="C188" s="128" t="s">
        <v>210</v>
      </c>
      <c r="D188" s="101">
        <f t="shared" si="87"/>
        <v>0</v>
      </c>
      <c r="E188" s="129"/>
      <c r="F188" s="129"/>
      <c r="G188" s="130"/>
      <c r="H188" s="102">
        <f t="shared" si="89"/>
        <v>0</v>
      </c>
      <c r="I188" s="131" t="s">
        <v>27</v>
      </c>
      <c r="J188" s="35">
        <f t="shared" si="92"/>
        <v>0</v>
      </c>
      <c r="K188" s="101">
        <v>99</v>
      </c>
      <c r="L188" s="132"/>
      <c r="M188" s="105"/>
      <c r="N188" s="33">
        <f t="shared" si="90"/>
        <v>97.1142857142857</v>
      </c>
      <c r="O188" s="133">
        <v>49.107</v>
      </c>
      <c r="P188" s="20"/>
      <c r="Q188" s="20"/>
      <c r="R188" s="20"/>
      <c r="S188" s="20"/>
      <c r="T188" s="20"/>
      <c r="U188" s="20"/>
      <c r="W188" s="2"/>
    </row>
    <row r="189" ht="15" hidden="1" customHeight="1" spans="2:25">
      <c r="B189" s="127">
        <f t="shared" si="91"/>
        <v>13</v>
      </c>
      <c r="C189" s="128" t="s">
        <v>211</v>
      </c>
      <c r="D189" s="101">
        <f t="shared" si="87"/>
        <v>174.85</v>
      </c>
      <c r="E189" s="129"/>
      <c r="F189" s="129"/>
      <c r="G189" s="130"/>
      <c r="H189" s="102">
        <f t="shared" si="89"/>
        <v>174.85</v>
      </c>
      <c r="I189" s="131" t="s">
        <v>27</v>
      </c>
      <c r="J189" s="35">
        <v>19214</v>
      </c>
      <c r="K189" s="101">
        <v>91</v>
      </c>
      <c r="L189" s="132"/>
      <c r="M189" s="105"/>
      <c r="N189" s="33">
        <f t="shared" si="90"/>
        <v>89.2666666666667</v>
      </c>
      <c r="O189" s="133">
        <v>279.035</v>
      </c>
      <c r="P189" s="20"/>
      <c r="Q189" s="20"/>
      <c r="R189" s="20"/>
      <c r="S189" s="20"/>
      <c r="T189" s="20"/>
      <c r="U189" s="20"/>
      <c r="W189" s="2"/>
    </row>
    <row r="190" ht="15" hidden="1" customHeight="1" spans="2:25">
      <c r="B190" s="127">
        <f t="shared" si="91"/>
        <v>14</v>
      </c>
      <c r="C190" s="128" t="s">
        <v>212</v>
      </c>
      <c r="D190" s="101">
        <f t="shared" si="87"/>
        <v>0</v>
      </c>
      <c r="E190" s="129"/>
      <c r="F190" s="129"/>
      <c r="G190" s="130"/>
      <c r="H190" s="102">
        <f t="shared" si="89"/>
        <v>0</v>
      </c>
      <c r="I190" s="131" t="s">
        <v>27</v>
      </c>
      <c r="J190" s="35">
        <f t="shared" si="92"/>
        <v>0</v>
      </c>
      <c r="K190" s="101">
        <v>56</v>
      </c>
      <c r="L190" s="132"/>
      <c r="M190" s="105"/>
      <c r="N190" s="33">
        <f t="shared" si="90"/>
        <v>54.9333333333333</v>
      </c>
      <c r="O190" s="133">
        <v>6770.562</v>
      </c>
      <c r="P190" s="20"/>
      <c r="Q190" s="20"/>
      <c r="R190" s="20"/>
      <c r="S190" s="20"/>
      <c r="T190" s="20"/>
      <c r="U190" s="20"/>
      <c r="W190" s="2"/>
    </row>
    <row r="191" ht="15" hidden="1" customHeight="1" spans="2:25">
      <c r="B191" s="127">
        <f t="shared" si="91"/>
        <v>15</v>
      </c>
      <c r="C191" s="128" t="s">
        <v>213</v>
      </c>
      <c r="D191" s="101">
        <f t="shared" si="87"/>
        <v>86.09</v>
      </c>
      <c r="E191" s="129"/>
      <c r="F191" s="129"/>
      <c r="G191" s="130"/>
      <c r="H191" s="102">
        <f t="shared" si="89"/>
        <v>86.09</v>
      </c>
      <c r="I191" s="131" t="s">
        <v>27</v>
      </c>
      <c r="J191" s="35">
        <v>20020</v>
      </c>
      <c r="K191" s="101">
        <v>43</v>
      </c>
      <c r="L191" s="132"/>
      <c r="M191" s="105"/>
      <c r="N191" s="33">
        <f t="shared" si="90"/>
        <v>42.1809523809524</v>
      </c>
      <c r="O191" s="133">
        <v>7029.07</v>
      </c>
      <c r="P191" s="20"/>
      <c r="Q191" s="20"/>
      <c r="R191" s="20"/>
      <c r="S191" s="20"/>
      <c r="T191" s="20"/>
      <c r="U191" s="20"/>
      <c r="W191" s="2"/>
    </row>
    <row r="192" ht="15" hidden="1" customHeight="1" spans="2:25">
      <c r="B192" s="127">
        <f t="shared" si="91"/>
        <v>16</v>
      </c>
      <c r="C192" s="134" t="s">
        <v>214</v>
      </c>
      <c r="D192" s="101">
        <f t="shared" si="87"/>
        <v>295.41</v>
      </c>
      <c r="E192" s="129"/>
      <c r="F192" s="129"/>
      <c r="G192" s="130"/>
      <c r="H192" s="102">
        <f t="shared" si="89"/>
        <v>295.41</v>
      </c>
      <c r="I192" s="131" t="s">
        <v>27</v>
      </c>
      <c r="J192" s="35">
        <v>10293</v>
      </c>
      <c r="K192" s="101">
        <v>287</v>
      </c>
      <c r="L192" s="132"/>
      <c r="M192" s="105"/>
      <c r="N192" s="33">
        <f t="shared" si="90"/>
        <v>281.533333333333</v>
      </c>
      <c r="O192" s="133">
        <v>1</v>
      </c>
      <c r="P192" s="20"/>
      <c r="Q192" s="20"/>
      <c r="R192" s="20"/>
      <c r="S192" s="20"/>
      <c r="T192" s="20"/>
      <c r="U192" s="20"/>
      <c r="W192" s="2"/>
    </row>
    <row r="193" ht="15" customHeight="1" spans="2:25">
      <c r="B193" s="127">
        <f t="shared" si="91"/>
        <v>17</v>
      </c>
      <c r="C193" s="128" t="s">
        <v>215</v>
      </c>
      <c r="D193" s="101">
        <f t="shared" si="87"/>
        <v>75.42</v>
      </c>
      <c r="E193" s="129"/>
      <c r="F193" s="129"/>
      <c r="G193" s="130"/>
      <c r="H193" s="102">
        <f t="shared" si="89"/>
        <v>75.42</v>
      </c>
      <c r="I193" s="131" t="s">
        <v>34</v>
      </c>
      <c r="J193" s="35">
        <v>2783</v>
      </c>
      <c r="K193" s="101">
        <v>271</v>
      </c>
      <c r="L193" s="132"/>
      <c r="M193" s="105"/>
      <c r="N193" s="33">
        <f t="shared" si="90"/>
        <v>265.838095238095</v>
      </c>
      <c r="O193" s="133">
        <v>161.403</v>
      </c>
      <c r="P193" s="20"/>
      <c r="Q193" s="20"/>
      <c r="R193" s="20"/>
      <c r="S193" s="20"/>
      <c r="T193" s="20"/>
      <c r="U193" s="20"/>
      <c r="W193" s="2"/>
    </row>
    <row r="194" ht="15" customHeight="1" spans="2:25">
      <c r="B194" s="127">
        <f t="shared" si="91"/>
        <v>18</v>
      </c>
      <c r="C194" s="128" t="s">
        <v>216</v>
      </c>
      <c r="D194" s="101">
        <f t="shared" si="87"/>
        <v>21.1</v>
      </c>
      <c r="E194" s="129"/>
      <c r="F194" s="129"/>
      <c r="G194" s="130"/>
      <c r="H194" s="102">
        <f t="shared" si="89"/>
        <v>21.1</v>
      </c>
      <c r="I194" s="131" t="s">
        <v>34</v>
      </c>
      <c r="J194" s="35">
        <v>2890</v>
      </c>
      <c r="K194" s="101">
        <v>73</v>
      </c>
      <c r="L194" s="132"/>
      <c r="M194" s="105"/>
      <c r="N194" s="33">
        <f t="shared" si="90"/>
        <v>71.6095238095238</v>
      </c>
      <c r="O194" s="133">
        <v>74.491</v>
      </c>
      <c r="P194" s="20"/>
      <c r="Q194" s="20"/>
      <c r="R194" s="20"/>
      <c r="S194" s="20"/>
      <c r="T194" s="20"/>
      <c r="U194" s="20"/>
      <c r="W194" s="2"/>
    </row>
    <row r="195" ht="15" hidden="1" customHeight="1" spans="2:25">
      <c r="B195" s="127">
        <f t="shared" si="91"/>
        <v>19</v>
      </c>
      <c r="C195" s="134" t="s">
        <v>217</v>
      </c>
      <c r="D195" s="101">
        <f t="shared" si="87"/>
        <v>15.79</v>
      </c>
      <c r="E195" s="129"/>
      <c r="F195" s="129"/>
      <c r="G195" s="130"/>
      <c r="H195" s="102">
        <f t="shared" si="89"/>
        <v>15.79</v>
      </c>
      <c r="I195" s="131" t="s">
        <v>119</v>
      </c>
      <c r="J195" s="35">
        <v>87</v>
      </c>
      <c r="K195" s="101">
        <v>1815</v>
      </c>
      <c r="L195" s="132"/>
      <c r="M195" s="105"/>
      <c r="N195" s="33">
        <f t="shared" si="90"/>
        <v>1780.42857142857</v>
      </c>
      <c r="O195" s="133">
        <v>280.33</v>
      </c>
      <c r="P195" s="20"/>
      <c r="Q195" s="20"/>
      <c r="R195" s="20"/>
      <c r="S195" s="20"/>
      <c r="T195" s="20"/>
      <c r="U195" s="20"/>
      <c r="W195" s="2"/>
    </row>
    <row r="196" ht="15" hidden="1" customHeight="1" spans="2:25">
      <c r="B196" s="127">
        <f t="shared" si="91"/>
        <v>20</v>
      </c>
      <c r="C196" s="134" t="s">
        <v>218</v>
      </c>
      <c r="D196" s="101">
        <f t="shared" si="87"/>
        <v>25.05</v>
      </c>
      <c r="E196" s="129"/>
      <c r="F196" s="129"/>
      <c r="G196" s="130"/>
      <c r="H196" s="102">
        <f t="shared" si="89"/>
        <v>25.05</v>
      </c>
      <c r="I196" s="131" t="s">
        <v>119</v>
      </c>
      <c r="J196" s="35">
        <v>90</v>
      </c>
      <c r="K196" s="101">
        <v>2783</v>
      </c>
      <c r="L196" s="132"/>
      <c r="M196" s="105"/>
      <c r="N196" s="33">
        <f t="shared" si="90"/>
        <v>2729.99047619048</v>
      </c>
      <c r="O196" s="133">
        <v>1838</v>
      </c>
      <c r="P196" s="20"/>
      <c r="Q196" s="20"/>
      <c r="R196" s="20"/>
      <c r="S196" s="20"/>
      <c r="T196" s="20"/>
      <c r="U196" s="20"/>
      <c r="W196" s="2"/>
    </row>
    <row r="197" ht="15" hidden="1" customHeight="1" spans="2:25">
      <c r="B197" s="127">
        <f t="shared" si="91"/>
        <v>21</v>
      </c>
      <c r="C197" s="134" t="s">
        <v>219</v>
      </c>
      <c r="D197" s="101">
        <f t="shared" si="87"/>
        <v>22.55</v>
      </c>
      <c r="E197" s="129"/>
      <c r="F197" s="129"/>
      <c r="G197" s="130"/>
      <c r="H197" s="102">
        <f t="shared" si="89"/>
        <v>22.55</v>
      </c>
      <c r="I197" s="131" t="s">
        <v>119</v>
      </c>
      <c r="J197" s="35">
        <v>90</v>
      </c>
      <c r="K197" s="101">
        <v>2506</v>
      </c>
      <c r="L197" s="132"/>
      <c r="M197" s="105"/>
      <c r="N197" s="33">
        <f t="shared" si="90"/>
        <v>2458.26666666667</v>
      </c>
      <c r="O197" s="133">
        <v>2823.25</v>
      </c>
      <c r="P197" s="20"/>
      <c r="Q197" s="20"/>
      <c r="R197" s="20"/>
      <c r="S197" s="20"/>
      <c r="T197" s="20"/>
      <c r="U197" s="20"/>
      <c r="W197" s="2"/>
    </row>
    <row r="198" s="83" customFormat="1" ht="15" hidden="1" customHeight="1" spans="2:25">
      <c r="B198" s="135" t="s">
        <v>45</v>
      </c>
      <c r="C198" s="136" t="s">
        <v>68</v>
      </c>
      <c r="D198" s="137">
        <f t="shared" ref="D198:H198" si="93">SUM(D199:D210)</f>
        <v>1968.78</v>
      </c>
      <c r="E198" s="137">
        <f t="shared" si="93"/>
        <v>0</v>
      </c>
      <c r="F198" s="137">
        <f t="shared" si="93"/>
        <v>0</v>
      </c>
      <c r="G198" s="137">
        <f t="shared" si="93"/>
        <v>0</v>
      </c>
      <c r="H198" s="137">
        <f t="shared" si="93"/>
        <v>1968.78</v>
      </c>
      <c r="I198" s="138" t="s">
        <v>17</v>
      </c>
      <c r="J198" s="137">
        <f>R2</f>
        <v>1.3</v>
      </c>
      <c r="K198" s="139">
        <f>H198/J198*10000</f>
        <v>15144461.5384615</v>
      </c>
      <c r="L198" s="140"/>
      <c r="M198" s="141"/>
      <c r="N198" s="142"/>
      <c r="O198" s="142"/>
      <c r="P198" s="119"/>
      <c r="Q198" s="119"/>
      <c r="R198" s="119"/>
      <c r="S198" s="119"/>
      <c r="T198" s="119"/>
      <c r="U198" s="119"/>
      <c r="V198" s="143"/>
      <c r="X198" s="120"/>
      <c r="Y198" s="120"/>
    </row>
    <row r="199" s="83" customFormat="1" ht="15" customHeight="1" spans="2:25">
      <c r="B199" s="121">
        <v>1</v>
      </c>
      <c r="C199" s="144" t="s">
        <v>277</v>
      </c>
      <c r="D199" s="110">
        <f t="shared" ref="D199:D210" si="94">ROUND(J199*K199/10000,2)</f>
        <v>0</v>
      </c>
      <c r="E199" s="123"/>
      <c r="F199" s="123"/>
      <c r="G199" s="124"/>
      <c r="H199" s="113">
        <f t="shared" ref="H199:H210" si="95">SUM(D199:G199)</f>
        <v>0</v>
      </c>
      <c r="I199" s="125" t="s">
        <v>34</v>
      </c>
      <c r="J199" s="114">
        <v>0</v>
      </c>
      <c r="K199" s="110">
        <v>2442</v>
      </c>
      <c r="L199" s="126"/>
      <c r="M199" s="116"/>
      <c r="N199" s="117">
        <f t="shared" ref="N199:N216" si="96">K199/1.05*1.03</f>
        <v>2395.48571428571</v>
      </c>
      <c r="O199" s="118">
        <v>3257.528</v>
      </c>
      <c r="P199" s="119"/>
      <c r="Q199" s="119"/>
      <c r="R199" s="119"/>
      <c r="S199" s="119"/>
      <c r="T199" s="119"/>
      <c r="U199" s="119"/>
      <c r="V199" s="120"/>
      <c r="X199" s="120"/>
      <c r="Y199" s="120"/>
    </row>
    <row r="200" s="83" customFormat="1" ht="15" customHeight="1" spans="2:25">
      <c r="B200" s="121">
        <v>2</v>
      </c>
      <c r="C200" s="144" t="s">
        <v>286</v>
      </c>
      <c r="D200" s="110">
        <f t="shared" si="94"/>
        <v>0</v>
      </c>
      <c r="E200" s="123"/>
      <c r="F200" s="123"/>
      <c r="G200" s="124"/>
      <c r="H200" s="113">
        <f t="shared" si="95"/>
        <v>0</v>
      </c>
      <c r="I200" s="125" t="s">
        <v>34</v>
      </c>
      <c r="J200" s="114">
        <v>0</v>
      </c>
      <c r="K200" s="110">
        <v>3262</v>
      </c>
      <c r="L200" s="126"/>
      <c r="M200" s="116"/>
      <c r="N200" s="117">
        <f t="shared" si="96"/>
        <v>3199.86666666667</v>
      </c>
      <c r="O200" s="118">
        <v>3257.528</v>
      </c>
      <c r="P200" s="119"/>
      <c r="Q200" s="119"/>
      <c r="R200" s="119"/>
      <c r="S200" s="119"/>
      <c r="T200" s="119"/>
      <c r="U200" s="119"/>
      <c r="V200" s="120"/>
      <c r="X200" s="120"/>
      <c r="Y200" s="120"/>
    </row>
    <row r="201" s="83" customFormat="1" ht="15" customHeight="1" spans="2:25">
      <c r="B201" s="121">
        <v>3</v>
      </c>
      <c r="C201" s="144" t="s">
        <v>287</v>
      </c>
      <c r="D201" s="110">
        <f t="shared" si="94"/>
        <v>0</v>
      </c>
      <c r="E201" s="123"/>
      <c r="F201" s="123"/>
      <c r="G201" s="124"/>
      <c r="H201" s="113">
        <f t="shared" si="95"/>
        <v>0</v>
      </c>
      <c r="I201" s="125" t="s">
        <v>34</v>
      </c>
      <c r="J201" s="114">
        <v>0</v>
      </c>
      <c r="K201" s="110">
        <v>7113</v>
      </c>
      <c r="L201" s="126"/>
      <c r="M201" s="116"/>
      <c r="N201" s="117">
        <f t="shared" si="96"/>
        <v>6977.51428571429</v>
      </c>
      <c r="O201" s="118">
        <v>3257.528</v>
      </c>
      <c r="P201" s="119"/>
      <c r="Q201" s="119"/>
      <c r="R201" s="119"/>
      <c r="S201" s="119"/>
      <c r="T201" s="119"/>
      <c r="U201" s="119"/>
      <c r="V201" s="120"/>
      <c r="X201" s="120"/>
      <c r="Y201" s="120"/>
    </row>
    <row r="202" s="83" customFormat="1" ht="15" hidden="1" customHeight="1" spans="2:25">
      <c r="B202" s="121">
        <v>4</v>
      </c>
      <c r="C202" s="144" t="s">
        <v>275</v>
      </c>
      <c r="D202" s="110">
        <f t="shared" si="94"/>
        <v>0</v>
      </c>
      <c r="E202" s="123"/>
      <c r="F202" s="123"/>
      <c r="G202" s="124"/>
      <c r="H202" s="113">
        <f t="shared" si="95"/>
        <v>0</v>
      </c>
      <c r="I202" s="125" t="s">
        <v>276</v>
      </c>
      <c r="J202" s="114">
        <v>0</v>
      </c>
      <c r="K202" s="110">
        <v>4725</v>
      </c>
      <c r="L202" s="126"/>
      <c r="M202" s="116"/>
      <c r="N202" s="117">
        <f t="shared" si="96"/>
        <v>4635</v>
      </c>
      <c r="O202" s="118">
        <v>3257.528</v>
      </c>
      <c r="P202" s="119"/>
      <c r="Q202" s="119"/>
      <c r="R202" s="119"/>
      <c r="S202" s="119"/>
      <c r="T202" s="119"/>
      <c r="U202" s="119"/>
      <c r="V202" s="120"/>
      <c r="X202" s="120"/>
      <c r="Y202" s="120"/>
    </row>
    <row r="203" s="83" customFormat="1" ht="15" customHeight="1" spans="2:25">
      <c r="B203" s="121">
        <v>5</v>
      </c>
      <c r="C203" s="144" t="s">
        <v>288</v>
      </c>
      <c r="D203" s="110">
        <f t="shared" si="94"/>
        <v>125.2</v>
      </c>
      <c r="E203" s="123"/>
      <c r="F203" s="123"/>
      <c r="G203" s="124"/>
      <c r="H203" s="113">
        <f t="shared" si="95"/>
        <v>125.2</v>
      </c>
      <c r="I203" s="125" t="s">
        <v>34</v>
      </c>
      <c r="J203" s="114">
        <v>200</v>
      </c>
      <c r="K203" s="110">
        <v>6260</v>
      </c>
      <c r="L203" s="126"/>
      <c r="M203" s="116"/>
      <c r="N203" s="117">
        <f t="shared" si="96"/>
        <v>6140.7619047619</v>
      </c>
      <c r="O203" s="118">
        <v>3257.528</v>
      </c>
      <c r="P203" s="119"/>
      <c r="Q203" s="119"/>
      <c r="R203" s="119"/>
      <c r="S203" s="119"/>
      <c r="T203" s="119"/>
      <c r="U203" s="119"/>
      <c r="V203" s="120"/>
      <c r="X203" s="120"/>
      <c r="Y203" s="120"/>
    </row>
    <row r="204" s="83" customFormat="1" ht="15" customHeight="1" spans="2:25">
      <c r="B204" s="121">
        <v>6</v>
      </c>
      <c r="C204" s="144" t="s">
        <v>289</v>
      </c>
      <c r="D204" s="110">
        <f t="shared" si="94"/>
        <v>420.28</v>
      </c>
      <c r="E204" s="123"/>
      <c r="F204" s="123"/>
      <c r="G204" s="124"/>
      <c r="H204" s="113">
        <f t="shared" si="95"/>
        <v>420.28</v>
      </c>
      <c r="I204" s="125" t="s">
        <v>34</v>
      </c>
      <c r="J204" s="114">
        <v>400</v>
      </c>
      <c r="K204" s="110">
        <v>10507</v>
      </c>
      <c r="L204" s="126"/>
      <c r="M204" s="116"/>
      <c r="N204" s="117">
        <f t="shared" si="96"/>
        <v>10306.8666666667</v>
      </c>
      <c r="O204" s="118">
        <v>70.643</v>
      </c>
      <c r="P204" s="119"/>
      <c r="Q204" s="119"/>
      <c r="R204" s="119"/>
      <c r="S204" s="119"/>
      <c r="T204" s="119"/>
      <c r="U204" s="119"/>
      <c r="V204" s="120"/>
      <c r="X204" s="120"/>
      <c r="Y204" s="120"/>
    </row>
    <row r="205" s="83" customFormat="1" ht="15" customHeight="1" spans="2:25">
      <c r="B205" s="121">
        <v>7</v>
      </c>
      <c r="C205" s="144" t="s">
        <v>290</v>
      </c>
      <c r="D205" s="110">
        <f t="shared" si="94"/>
        <v>1183.44</v>
      </c>
      <c r="E205" s="123"/>
      <c r="F205" s="123"/>
      <c r="G205" s="124"/>
      <c r="H205" s="113">
        <f t="shared" si="95"/>
        <v>1183.44</v>
      </c>
      <c r="I205" s="125" t="s">
        <v>34</v>
      </c>
      <c r="J205" s="114">
        <v>800</v>
      </c>
      <c r="K205" s="110">
        <v>14793</v>
      </c>
      <c r="L205" s="126"/>
      <c r="M205" s="116"/>
      <c r="N205" s="117">
        <f t="shared" si="96"/>
        <v>14511.2285714286</v>
      </c>
      <c r="O205" s="118">
        <v>0</v>
      </c>
      <c r="P205" s="119"/>
      <c r="Q205" s="119"/>
      <c r="R205" s="119"/>
      <c r="S205" s="119"/>
      <c r="T205" s="119"/>
      <c r="U205" s="119"/>
      <c r="V205" s="120"/>
      <c r="X205" s="120"/>
      <c r="Y205" s="120"/>
    </row>
    <row r="206" s="83" customFormat="1" ht="15" customHeight="1" spans="2:25">
      <c r="B206" s="121">
        <v>8</v>
      </c>
      <c r="C206" s="144" t="s">
        <v>224</v>
      </c>
      <c r="D206" s="110">
        <f t="shared" si="94"/>
        <v>82.42</v>
      </c>
      <c r="E206" s="123"/>
      <c r="F206" s="123"/>
      <c r="G206" s="124"/>
      <c r="H206" s="113">
        <f t="shared" si="95"/>
        <v>82.42</v>
      </c>
      <c r="I206" s="125" t="s">
        <v>34</v>
      </c>
      <c r="J206" s="114">
        <v>1140</v>
      </c>
      <c r="K206" s="110">
        <v>723</v>
      </c>
      <c r="L206" s="126"/>
      <c r="M206" s="116"/>
      <c r="N206" s="117">
        <f t="shared" si="96"/>
        <v>709.228571428571</v>
      </c>
      <c r="O206" s="118">
        <v>3208.49</v>
      </c>
      <c r="P206" s="119"/>
      <c r="Q206" s="119"/>
      <c r="R206" s="119"/>
      <c r="S206" s="119"/>
      <c r="T206" s="119"/>
      <c r="U206" s="119"/>
      <c r="V206" s="120"/>
      <c r="X206" s="120"/>
      <c r="Y206" s="120"/>
    </row>
    <row r="207" s="83" customFormat="1" ht="15" hidden="1" customHeight="1" spans="2:25">
      <c r="B207" s="121">
        <v>9</v>
      </c>
      <c r="C207" s="144" t="s">
        <v>272</v>
      </c>
      <c r="D207" s="110">
        <f t="shared" si="94"/>
        <v>11.2</v>
      </c>
      <c r="E207" s="123"/>
      <c r="F207" s="123"/>
      <c r="G207" s="124"/>
      <c r="H207" s="113">
        <f t="shared" si="95"/>
        <v>11.2</v>
      </c>
      <c r="I207" s="125" t="s">
        <v>119</v>
      </c>
      <c r="J207" s="114">
        <v>7</v>
      </c>
      <c r="K207" s="110">
        <v>16000</v>
      </c>
      <c r="L207" s="126"/>
      <c r="M207" s="116"/>
      <c r="N207" s="117">
        <f t="shared" si="96"/>
        <v>15695.2380952381</v>
      </c>
      <c r="O207" s="118">
        <v>2709.276</v>
      </c>
      <c r="P207" s="119"/>
      <c r="Q207" s="119"/>
      <c r="R207" s="119"/>
      <c r="S207" s="119"/>
      <c r="T207" s="119"/>
      <c r="U207" s="119"/>
      <c r="V207" s="120"/>
      <c r="X207" s="120"/>
      <c r="Y207" s="120"/>
    </row>
    <row r="208" s="83" customFormat="1" ht="15" hidden="1" customHeight="1" spans="2:25">
      <c r="B208" s="121">
        <v>10</v>
      </c>
      <c r="C208" s="144" t="s">
        <v>226</v>
      </c>
      <c r="D208" s="110">
        <f t="shared" si="94"/>
        <v>30</v>
      </c>
      <c r="E208" s="123"/>
      <c r="F208" s="123"/>
      <c r="G208" s="124"/>
      <c r="H208" s="113">
        <f t="shared" si="95"/>
        <v>30</v>
      </c>
      <c r="I208" s="125" t="s">
        <v>119</v>
      </c>
      <c r="J208" s="114">
        <v>15</v>
      </c>
      <c r="K208" s="110">
        <v>20000</v>
      </c>
      <c r="L208" s="126"/>
      <c r="M208" s="116"/>
      <c r="N208" s="117">
        <f t="shared" si="96"/>
        <v>19619.0476190476</v>
      </c>
      <c r="O208" s="118">
        <v>2709.276</v>
      </c>
      <c r="P208" s="119"/>
      <c r="Q208" s="119"/>
      <c r="R208" s="119"/>
      <c r="S208" s="119"/>
      <c r="T208" s="119"/>
      <c r="U208" s="119"/>
      <c r="V208" s="120"/>
      <c r="X208" s="120"/>
      <c r="Y208" s="120"/>
    </row>
    <row r="209" s="83" customFormat="1" ht="15" hidden="1" customHeight="1" spans="1:25">
      <c r="B209" s="121">
        <v>11</v>
      </c>
      <c r="C209" s="144" t="s">
        <v>227</v>
      </c>
      <c r="D209" s="110">
        <f t="shared" si="94"/>
        <v>98</v>
      </c>
      <c r="E209" s="123"/>
      <c r="F209" s="123"/>
      <c r="G209" s="124"/>
      <c r="H209" s="113">
        <f t="shared" si="95"/>
        <v>98</v>
      </c>
      <c r="I209" s="125" t="s">
        <v>119</v>
      </c>
      <c r="J209" s="114">
        <v>35</v>
      </c>
      <c r="K209" s="110">
        <v>28000</v>
      </c>
      <c r="L209" s="126"/>
      <c r="M209" s="116"/>
      <c r="N209" s="117">
        <f t="shared" si="96"/>
        <v>27466.6666666667</v>
      </c>
      <c r="O209" s="118">
        <v>1109.474</v>
      </c>
      <c r="P209" s="119"/>
      <c r="Q209" s="119"/>
      <c r="R209" s="119"/>
      <c r="S209" s="119"/>
      <c r="T209" s="119"/>
      <c r="U209" s="119"/>
      <c r="V209" s="120"/>
      <c r="X209" s="120"/>
      <c r="Y209" s="120"/>
    </row>
    <row r="210" s="83" customFormat="1" ht="15" hidden="1" customHeight="1" spans="1:25">
      <c r="B210" s="121">
        <v>12</v>
      </c>
      <c r="C210" s="144" t="s">
        <v>228</v>
      </c>
      <c r="D210" s="110">
        <f t="shared" si="94"/>
        <v>18.24</v>
      </c>
      <c r="E210" s="123"/>
      <c r="F210" s="123"/>
      <c r="G210" s="124"/>
      <c r="H210" s="113">
        <f t="shared" si="95"/>
        <v>18.24</v>
      </c>
      <c r="I210" s="125" t="s">
        <v>119</v>
      </c>
      <c r="J210" s="114">
        <v>114</v>
      </c>
      <c r="K210" s="110">
        <v>1600</v>
      </c>
      <c r="L210" s="126"/>
      <c r="M210" s="116"/>
      <c r="N210" s="117">
        <f t="shared" si="96"/>
        <v>1569.52380952381</v>
      </c>
      <c r="O210" s="118">
        <v>2677.677</v>
      </c>
      <c r="P210" s="119"/>
      <c r="Q210" s="119"/>
      <c r="R210" s="119"/>
      <c r="S210" s="119"/>
      <c r="T210" s="119"/>
      <c r="U210" s="119"/>
      <c r="V210" s="120"/>
      <c r="X210" s="120"/>
      <c r="Y210" s="120"/>
    </row>
    <row r="211" s="83" customFormat="1" ht="15" hidden="1" customHeight="1" spans="1:25">
      <c r="B211" s="135" t="s">
        <v>59</v>
      </c>
      <c r="C211" s="136" t="s">
        <v>73</v>
      </c>
      <c r="D211" s="137">
        <f t="shared" ref="D211:H211" si="97">SUM(D212:D216)</f>
        <v>208.1</v>
      </c>
      <c r="E211" s="137">
        <f t="shared" si="97"/>
        <v>0</v>
      </c>
      <c r="F211" s="137">
        <f t="shared" si="97"/>
        <v>0</v>
      </c>
      <c r="G211" s="137">
        <f t="shared" si="97"/>
        <v>0</v>
      </c>
      <c r="H211" s="137">
        <f t="shared" si="97"/>
        <v>208.1</v>
      </c>
      <c r="I211" s="138" t="s">
        <v>17</v>
      </c>
      <c r="J211" s="137">
        <f>J198</f>
        <v>1.3</v>
      </c>
      <c r="K211" s="139">
        <f>H211/J211*10000</f>
        <v>1600769.23076923</v>
      </c>
      <c r="L211" s="140"/>
      <c r="M211" s="116"/>
      <c r="N211" s="117">
        <f t="shared" si="96"/>
        <v>1570278.38827839</v>
      </c>
      <c r="O211" s="118">
        <v>2842.898</v>
      </c>
      <c r="P211" s="119"/>
      <c r="Q211" s="119"/>
      <c r="R211" s="119"/>
      <c r="S211" s="119"/>
      <c r="T211" s="119"/>
      <c r="U211" s="119"/>
      <c r="V211" s="120"/>
      <c r="X211" s="120"/>
      <c r="Y211" s="120"/>
    </row>
    <row r="212" s="83" customFormat="1" ht="15" customHeight="1" spans="1:25">
      <c r="B212" s="121">
        <v>1</v>
      </c>
      <c r="C212" s="144" t="s">
        <v>273</v>
      </c>
      <c r="D212" s="110">
        <f t="shared" ref="D212:D216" si="98">ROUND(J212*K212/10000,2)</f>
        <v>193.05</v>
      </c>
      <c r="E212" s="123"/>
      <c r="F212" s="123"/>
      <c r="G212" s="124"/>
      <c r="H212" s="113">
        <f t="shared" ref="H212:H216" si="99">SUM(D212:G212)</f>
        <v>193.05</v>
      </c>
      <c r="I212" s="125" t="s">
        <v>34</v>
      </c>
      <c r="J212" s="114">
        <v>450</v>
      </c>
      <c r="K212" s="110">
        <v>4290</v>
      </c>
      <c r="L212" s="126"/>
      <c r="M212" s="116"/>
      <c r="N212" s="117">
        <f t="shared" si="96"/>
        <v>4208.28571428571</v>
      </c>
      <c r="O212" s="118">
        <v>1642.779</v>
      </c>
      <c r="P212" s="119"/>
      <c r="Q212" s="119"/>
      <c r="R212" s="119"/>
      <c r="S212" s="119"/>
      <c r="T212" s="119"/>
      <c r="U212" s="119"/>
      <c r="V212" s="120"/>
      <c r="X212" s="120"/>
      <c r="Y212" s="120"/>
    </row>
    <row r="213" s="83" customFormat="1" ht="15" customHeight="1" spans="1:25">
      <c r="B213" s="121">
        <v>4</v>
      </c>
      <c r="C213" s="144" t="s">
        <v>274</v>
      </c>
      <c r="D213" s="110">
        <f t="shared" si="98"/>
        <v>2.3</v>
      </c>
      <c r="E213" s="123"/>
      <c r="F213" s="123"/>
      <c r="G213" s="124"/>
      <c r="H213" s="113">
        <f t="shared" si="99"/>
        <v>2.3</v>
      </c>
      <c r="I213" s="125" t="s">
        <v>34</v>
      </c>
      <c r="J213" s="114">
        <v>450</v>
      </c>
      <c r="K213" s="110">
        <v>51</v>
      </c>
      <c r="L213" s="126"/>
      <c r="M213" s="116"/>
      <c r="N213" s="117">
        <f t="shared" si="96"/>
        <v>50.0285714285714</v>
      </c>
      <c r="O213" s="118">
        <v>237.666</v>
      </c>
      <c r="P213" s="119"/>
      <c r="Q213" s="119"/>
      <c r="R213" s="119"/>
      <c r="S213" s="119"/>
      <c r="T213" s="119"/>
      <c r="U213" s="119"/>
      <c r="V213" s="120"/>
      <c r="X213" s="120"/>
      <c r="Y213" s="120"/>
    </row>
    <row r="214" s="83" customFormat="1" ht="15" hidden="1" customHeight="1" spans="1:25">
      <c r="B214" s="121">
        <v>5</v>
      </c>
      <c r="C214" s="144" t="s">
        <v>232</v>
      </c>
      <c r="D214" s="110">
        <f t="shared" si="98"/>
        <v>12.75</v>
      </c>
      <c r="E214" s="123"/>
      <c r="F214" s="123"/>
      <c r="G214" s="124"/>
      <c r="H214" s="113">
        <f t="shared" si="99"/>
        <v>12.75</v>
      </c>
      <c r="I214" s="125" t="s">
        <v>119</v>
      </c>
      <c r="J214" s="114">
        <v>15</v>
      </c>
      <c r="K214" s="110">
        <v>8500</v>
      </c>
      <c r="L214" s="126"/>
      <c r="M214" s="116"/>
      <c r="N214" s="117">
        <f t="shared" si="96"/>
        <v>8338.09523809524</v>
      </c>
      <c r="O214" s="118">
        <v>375.908</v>
      </c>
      <c r="P214" s="119"/>
      <c r="Q214" s="119"/>
      <c r="R214" s="119"/>
      <c r="S214" s="119"/>
      <c r="T214" s="119"/>
      <c r="U214" s="119"/>
      <c r="V214" s="120"/>
      <c r="X214" s="120"/>
      <c r="Y214" s="120"/>
    </row>
    <row r="215" s="83" customFormat="1" ht="15" hidden="1" customHeight="1" spans="1:25">
      <c r="B215" s="121">
        <v>6</v>
      </c>
      <c r="C215" s="144" t="s">
        <v>275</v>
      </c>
      <c r="D215" s="110">
        <f t="shared" si="98"/>
        <v>0</v>
      </c>
      <c r="E215" s="123"/>
      <c r="F215" s="123"/>
      <c r="G215" s="124"/>
      <c r="H215" s="113">
        <f t="shared" si="99"/>
        <v>0</v>
      </c>
      <c r="I215" s="125" t="s">
        <v>276</v>
      </c>
      <c r="J215" s="114">
        <v>0</v>
      </c>
      <c r="K215" s="110">
        <v>4725</v>
      </c>
      <c r="L215" s="126"/>
      <c r="M215" s="116"/>
      <c r="N215" s="117">
        <f t="shared" si="96"/>
        <v>4635</v>
      </c>
      <c r="O215" s="118">
        <v>1832.071</v>
      </c>
      <c r="P215" s="119"/>
      <c r="Q215" s="119"/>
      <c r="R215" s="119"/>
      <c r="S215" s="119"/>
      <c r="T215" s="119"/>
      <c r="U215" s="119"/>
      <c r="V215" s="120"/>
      <c r="X215" s="120"/>
      <c r="Y215" s="120"/>
    </row>
    <row r="216" s="83" customFormat="1" ht="15" customHeight="1" spans="1:25">
      <c r="B216" s="121">
        <v>7</v>
      </c>
      <c r="C216" s="144" t="s">
        <v>277</v>
      </c>
      <c r="D216" s="110">
        <f t="shared" si="98"/>
        <v>0</v>
      </c>
      <c r="E216" s="123"/>
      <c r="F216" s="123"/>
      <c r="G216" s="124"/>
      <c r="H216" s="113">
        <f t="shared" si="99"/>
        <v>0</v>
      </c>
      <c r="I216" s="125" t="s">
        <v>34</v>
      </c>
      <c r="J216" s="114">
        <v>0</v>
      </c>
      <c r="K216" s="110">
        <v>2442</v>
      </c>
      <c r="L216" s="126"/>
      <c r="M216" s="116"/>
      <c r="N216" s="117">
        <f t="shared" si="96"/>
        <v>2395.48571428571</v>
      </c>
      <c r="O216" s="118">
        <v>0</v>
      </c>
      <c r="P216" s="119"/>
      <c r="Q216" s="119"/>
      <c r="R216" s="119"/>
      <c r="S216" s="119"/>
      <c r="T216" s="119"/>
      <c r="U216" s="119"/>
      <c r="V216" s="120"/>
      <c r="X216" s="120"/>
      <c r="Y216" s="120"/>
    </row>
    <row r="217" s="83" customFormat="1" ht="15" hidden="1" customHeight="1" spans="1:25">
      <c r="B217" s="135" t="s">
        <v>63</v>
      </c>
      <c r="C217" s="136" t="s">
        <v>64</v>
      </c>
      <c r="D217" s="137">
        <f t="shared" ref="D217:H217" si="100">SUM(D218:D222)</f>
        <v>73.22</v>
      </c>
      <c r="E217" s="137">
        <f t="shared" si="100"/>
        <v>0</v>
      </c>
      <c r="F217" s="137">
        <f t="shared" si="100"/>
        <v>0</v>
      </c>
      <c r="G217" s="137">
        <f t="shared" si="100"/>
        <v>0</v>
      </c>
      <c r="H217" s="137">
        <f t="shared" si="100"/>
        <v>73.22</v>
      </c>
      <c r="I217" s="138" t="s">
        <v>17</v>
      </c>
      <c r="J217" s="137">
        <f>J211</f>
        <v>1.3</v>
      </c>
      <c r="K217" s="139">
        <f>H217/J217*10000</f>
        <v>563230.769230769</v>
      </c>
      <c r="L217" s="140"/>
      <c r="M217" s="116"/>
      <c r="N217" s="117"/>
      <c r="O217" s="118"/>
      <c r="P217" s="119"/>
      <c r="Q217" s="119"/>
      <c r="R217" s="119"/>
      <c r="S217" s="119"/>
      <c r="T217" s="119"/>
      <c r="U217" s="119"/>
      <c r="V217" s="120"/>
      <c r="X217" s="120"/>
      <c r="Y217" s="120"/>
    </row>
    <row r="218" s="2" customFormat="1" ht="15" customHeight="1" spans="1:25">
      <c r="A218" s="83"/>
      <c r="B218" s="127">
        <v>1</v>
      </c>
      <c r="C218" s="134" t="s">
        <v>233</v>
      </c>
      <c r="D218" s="101">
        <f t="shared" ref="D218:D222" si="101">ROUND(J218*K218/10000,2)</f>
        <v>60.69</v>
      </c>
      <c r="E218" s="129"/>
      <c r="F218" s="129"/>
      <c r="G218" s="130"/>
      <c r="H218" s="102">
        <f t="shared" ref="H218:H222" si="102">SUM(D218:G218)</f>
        <v>60.69</v>
      </c>
      <c r="I218" s="131" t="s">
        <v>34</v>
      </c>
      <c r="J218" s="35">
        <v>700</v>
      </c>
      <c r="K218" s="101">
        <v>867</v>
      </c>
      <c r="L218" s="132"/>
      <c r="M218" s="105"/>
      <c r="N218" s="117"/>
      <c r="O218" s="118"/>
      <c r="P218" s="20"/>
      <c r="Q218" s="20"/>
      <c r="R218" s="20"/>
      <c r="S218" s="20"/>
      <c r="T218" s="20"/>
      <c r="U218" s="20"/>
      <c r="V218" s="6"/>
      <c r="X218" s="6"/>
      <c r="Y218" s="6"/>
    </row>
    <row r="219" s="83" customFormat="1" ht="15" hidden="1" customHeight="1" spans="1:25">
      <c r="B219" s="121">
        <f t="shared" ref="B219:B222" si="103">B218+1</f>
        <v>2</v>
      </c>
      <c r="C219" s="144" t="s">
        <v>234</v>
      </c>
      <c r="D219" s="110">
        <f t="shared" si="101"/>
        <v>2.57</v>
      </c>
      <c r="E219" s="123"/>
      <c r="F219" s="123"/>
      <c r="G219" s="124"/>
      <c r="H219" s="113">
        <f t="shared" si="102"/>
        <v>2.57</v>
      </c>
      <c r="I219" s="125" t="s">
        <v>119</v>
      </c>
      <c r="J219" s="114">
        <v>4</v>
      </c>
      <c r="K219" s="110">
        <v>6419</v>
      </c>
      <c r="L219" s="126"/>
      <c r="M219" s="116"/>
      <c r="N219" s="117"/>
      <c r="O219" s="118"/>
      <c r="P219" s="119"/>
      <c r="Q219" s="119"/>
      <c r="R219" s="119"/>
      <c r="S219" s="119"/>
      <c r="T219" s="119"/>
      <c r="U219" s="119"/>
      <c r="V219" s="120"/>
      <c r="X219" s="120"/>
      <c r="Y219" s="120"/>
    </row>
    <row r="220" s="83" customFormat="1" ht="15" hidden="1" customHeight="1" spans="1:25">
      <c r="B220" s="121">
        <f t="shared" si="103"/>
        <v>3</v>
      </c>
      <c r="C220" s="144" t="s">
        <v>235</v>
      </c>
      <c r="D220" s="110">
        <f t="shared" si="101"/>
        <v>8.55</v>
      </c>
      <c r="E220" s="123"/>
      <c r="F220" s="123"/>
      <c r="G220" s="124"/>
      <c r="H220" s="113">
        <f t="shared" si="102"/>
        <v>8.55</v>
      </c>
      <c r="I220" s="125" t="s">
        <v>119</v>
      </c>
      <c r="J220" s="114">
        <v>6</v>
      </c>
      <c r="K220" s="110">
        <v>14245</v>
      </c>
      <c r="L220" s="126"/>
      <c r="M220" s="116"/>
      <c r="N220" s="117"/>
      <c r="O220" s="118"/>
      <c r="P220" s="119"/>
      <c r="Q220" s="119"/>
      <c r="R220" s="119"/>
      <c r="S220" s="119"/>
      <c r="T220" s="119"/>
      <c r="U220" s="119"/>
      <c r="V220" s="120"/>
      <c r="X220" s="120"/>
      <c r="Y220" s="120"/>
    </row>
    <row r="221" s="83" customFormat="1" ht="15" hidden="1" customHeight="1" spans="1:25">
      <c r="B221" s="121">
        <f t="shared" si="103"/>
        <v>4</v>
      </c>
      <c r="C221" s="144" t="s">
        <v>236</v>
      </c>
      <c r="D221" s="110">
        <f t="shared" si="101"/>
        <v>0.65</v>
      </c>
      <c r="E221" s="123"/>
      <c r="F221" s="123"/>
      <c r="G221" s="124"/>
      <c r="H221" s="113">
        <f t="shared" si="102"/>
        <v>0.65</v>
      </c>
      <c r="I221" s="125" t="s">
        <v>119</v>
      </c>
      <c r="J221" s="114">
        <v>1</v>
      </c>
      <c r="K221" s="110">
        <v>6509</v>
      </c>
      <c r="L221" s="126"/>
      <c r="M221" s="116"/>
      <c r="N221" s="117">
        <f t="shared" ref="N221:N229" si="104">K221/1.05*1.03</f>
        <v>6385.01904761905</v>
      </c>
      <c r="O221" s="118">
        <v>0</v>
      </c>
      <c r="P221" s="119"/>
      <c r="Q221" s="119"/>
      <c r="R221" s="119"/>
      <c r="S221" s="119"/>
      <c r="T221" s="119"/>
      <c r="U221" s="119"/>
      <c r="V221" s="120"/>
      <c r="X221" s="120"/>
      <c r="Y221" s="120"/>
    </row>
    <row r="222" s="83" customFormat="1" ht="15" hidden="1" customHeight="1" spans="1:25">
      <c r="B222" s="121">
        <f t="shared" si="103"/>
        <v>5</v>
      </c>
      <c r="C222" s="144" t="s">
        <v>237</v>
      </c>
      <c r="D222" s="110">
        <f t="shared" si="101"/>
        <v>0.76</v>
      </c>
      <c r="E222" s="123"/>
      <c r="F222" s="123"/>
      <c r="G222" s="124"/>
      <c r="H222" s="113">
        <f t="shared" si="102"/>
        <v>0.76</v>
      </c>
      <c r="I222" s="125" t="s">
        <v>119</v>
      </c>
      <c r="J222" s="114">
        <v>1</v>
      </c>
      <c r="K222" s="110">
        <v>7616</v>
      </c>
      <c r="L222" s="126"/>
      <c r="M222" s="116"/>
      <c r="N222" s="117">
        <f t="shared" si="104"/>
        <v>7470.93333333333</v>
      </c>
      <c r="O222" s="118">
        <v>1046.23</v>
      </c>
      <c r="P222" s="119"/>
      <c r="Q222" s="119"/>
      <c r="R222" s="119"/>
      <c r="S222" s="119"/>
      <c r="T222" s="119"/>
      <c r="U222" s="119"/>
      <c r="V222" s="120"/>
      <c r="X222" s="120"/>
      <c r="Y222" s="120"/>
    </row>
    <row r="223" s="86" customFormat="1" ht="15" hidden="1" customHeight="1" spans="1:25">
      <c r="B223" s="96" t="s">
        <v>67</v>
      </c>
      <c r="C223" s="26" t="s">
        <v>85</v>
      </c>
      <c r="D223" s="27">
        <f t="shared" ref="D223:H223" si="105">SUM(D224:D229)</f>
        <v>450.04</v>
      </c>
      <c r="E223" s="27">
        <f t="shared" si="105"/>
        <v>0</v>
      </c>
      <c r="F223" s="27">
        <f t="shared" si="105"/>
        <v>0</v>
      </c>
      <c r="G223" s="27">
        <f t="shared" si="105"/>
        <v>0</v>
      </c>
      <c r="H223" s="27">
        <f t="shared" si="105"/>
        <v>450.04</v>
      </c>
      <c r="I223" s="28" t="s">
        <v>17</v>
      </c>
      <c r="J223" s="27">
        <f>J217</f>
        <v>1.3</v>
      </c>
      <c r="K223" s="29">
        <f>H223/J223*10000</f>
        <v>3461846.15384615</v>
      </c>
      <c r="L223" s="107"/>
      <c r="M223" s="97"/>
      <c r="N223" s="32"/>
      <c r="O223" s="32"/>
      <c r="P223" s="20"/>
      <c r="Q223" s="20"/>
      <c r="R223" s="20"/>
      <c r="S223" s="20"/>
      <c r="T223" s="20"/>
      <c r="U223" s="20"/>
      <c r="V223" s="6"/>
      <c r="W223" s="2"/>
      <c r="X223" s="146"/>
      <c r="Y223" s="146"/>
    </row>
    <row r="224" ht="15" customHeight="1" spans="1:25">
      <c r="B224" s="127">
        <v>1</v>
      </c>
      <c r="C224" s="134" t="s">
        <v>238</v>
      </c>
      <c r="D224" s="101">
        <f t="shared" ref="D224:D229" si="106">ROUND(J224*K224/10000,2)</f>
        <v>236.74</v>
      </c>
      <c r="E224" s="129"/>
      <c r="F224" s="129"/>
      <c r="G224" s="130"/>
      <c r="H224" s="102">
        <f t="shared" ref="H224:H229" si="107">SUM(D224:G224)</f>
        <v>236.74</v>
      </c>
      <c r="I224" s="131" t="s">
        <v>34</v>
      </c>
      <c r="J224" s="35">
        <v>1400</v>
      </c>
      <c r="K224" s="101">
        <v>1691</v>
      </c>
      <c r="L224" s="132"/>
      <c r="M224" s="105"/>
      <c r="N224" s="33">
        <f t="shared" si="104"/>
        <v>1658.79047619048</v>
      </c>
      <c r="O224" s="133">
        <v>2823.25</v>
      </c>
      <c r="P224" s="20"/>
      <c r="Q224" s="20"/>
      <c r="R224" s="20"/>
      <c r="S224" s="20"/>
      <c r="T224" s="20"/>
      <c r="U224" s="20"/>
      <c r="W224" s="2"/>
    </row>
    <row r="225" ht="15" customHeight="1" spans="2:25">
      <c r="B225" s="127">
        <f t="shared" ref="B225:B229" si="108">B224+1</f>
        <v>2</v>
      </c>
      <c r="C225" s="134" t="s">
        <v>239</v>
      </c>
      <c r="D225" s="101">
        <f t="shared" si="106"/>
        <v>61.91</v>
      </c>
      <c r="E225" s="129"/>
      <c r="F225" s="129"/>
      <c r="G225" s="130"/>
      <c r="H225" s="102">
        <f t="shared" si="107"/>
        <v>61.91</v>
      </c>
      <c r="I225" s="131" t="s">
        <v>34</v>
      </c>
      <c r="J225" s="35">
        <v>280</v>
      </c>
      <c r="K225" s="101">
        <v>2211</v>
      </c>
      <c r="L225" s="132"/>
      <c r="M225" s="105"/>
      <c r="N225" s="33">
        <f t="shared" si="104"/>
        <v>2168.88571428571</v>
      </c>
      <c r="O225" s="133">
        <v>2823.25</v>
      </c>
      <c r="P225" s="20"/>
      <c r="Q225" s="20"/>
      <c r="R225" s="20"/>
      <c r="S225" s="20"/>
      <c r="T225" s="20"/>
      <c r="U225" s="20"/>
      <c r="W225" s="2"/>
    </row>
    <row r="226" ht="15" hidden="1" customHeight="1" spans="2:25">
      <c r="B226" s="127">
        <f t="shared" si="108"/>
        <v>3</v>
      </c>
      <c r="C226" s="134" t="s">
        <v>240</v>
      </c>
      <c r="D226" s="101">
        <f t="shared" si="106"/>
        <v>113.79</v>
      </c>
      <c r="E226" s="129"/>
      <c r="F226" s="129"/>
      <c r="G226" s="130"/>
      <c r="H226" s="102">
        <f t="shared" si="107"/>
        <v>113.79</v>
      </c>
      <c r="I226" s="131" t="s">
        <v>119</v>
      </c>
      <c r="J226" s="35">
        <v>47</v>
      </c>
      <c r="K226" s="101">
        <v>24211</v>
      </c>
      <c r="L226" s="132"/>
      <c r="M226" s="105"/>
      <c r="N226" s="33">
        <f t="shared" si="104"/>
        <v>23749.8380952381</v>
      </c>
      <c r="O226" s="133">
        <v>2823.25</v>
      </c>
      <c r="P226" s="20"/>
      <c r="Q226" s="20"/>
      <c r="R226" s="20"/>
      <c r="S226" s="20"/>
      <c r="T226" s="20"/>
      <c r="U226" s="20"/>
      <c r="W226" s="2"/>
    </row>
    <row r="227" ht="15" hidden="1" customHeight="1" spans="2:25">
      <c r="B227" s="127">
        <f t="shared" si="108"/>
        <v>4</v>
      </c>
      <c r="C227" s="134" t="s">
        <v>241</v>
      </c>
      <c r="D227" s="101">
        <f t="shared" si="106"/>
        <v>24.21</v>
      </c>
      <c r="E227" s="129"/>
      <c r="F227" s="129"/>
      <c r="G227" s="130"/>
      <c r="H227" s="102">
        <f t="shared" si="107"/>
        <v>24.21</v>
      </c>
      <c r="I227" s="131" t="s">
        <v>119</v>
      </c>
      <c r="J227" s="35">
        <v>10</v>
      </c>
      <c r="K227" s="101">
        <v>24211</v>
      </c>
      <c r="L227" s="132"/>
      <c r="M227" s="105"/>
      <c r="N227" s="33">
        <f t="shared" si="104"/>
        <v>23749.8380952381</v>
      </c>
      <c r="O227" s="133">
        <v>2823.25</v>
      </c>
      <c r="P227" s="20"/>
      <c r="Q227" s="20"/>
      <c r="R227" s="20"/>
      <c r="S227" s="20"/>
      <c r="T227" s="20"/>
      <c r="U227" s="20"/>
      <c r="W227" s="2"/>
    </row>
    <row r="228" ht="15" customHeight="1" spans="2:25">
      <c r="B228" s="127">
        <f t="shared" si="108"/>
        <v>5</v>
      </c>
      <c r="C228" s="134" t="s">
        <v>242</v>
      </c>
      <c r="D228" s="101">
        <f t="shared" si="106"/>
        <v>10.08</v>
      </c>
      <c r="E228" s="129"/>
      <c r="F228" s="129"/>
      <c r="G228" s="130"/>
      <c r="H228" s="102">
        <f t="shared" si="107"/>
        <v>10.08</v>
      </c>
      <c r="I228" s="131" t="s">
        <v>34</v>
      </c>
      <c r="J228" s="35">
        <v>3360</v>
      </c>
      <c r="K228" s="101">
        <v>30</v>
      </c>
      <c r="L228" s="132"/>
      <c r="M228" s="105"/>
      <c r="N228" s="33">
        <f t="shared" si="104"/>
        <v>29.4285714285714</v>
      </c>
      <c r="O228" s="133">
        <v>2823.25</v>
      </c>
      <c r="P228" s="20"/>
      <c r="Q228" s="20"/>
      <c r="R228" s="20"/>
      <c r="S228" s="20"/>
      <c r="T228" s="20"/>
      <c r="U228" s="20"/>
      <c r="W228" s="2"/>
    </row>
    <row r="229" ht="15" hidden="1" customHeight="1" spans="2:25">
      <c r="B229" s="127">
        <f t="shared" si="108"/>
        <v>6</v>
      </c>
      <c r="C229" s="134" t="s">
        <v>243</v>
      </c>
      <c r="D229" s="101">
        <f t="shared" si="106"/>
        <v>3.31</v>
      </c>
      <c r="E229" s="129"/>
      <c r="F229" s="129"/>
      <c r="G229" s="130"/>
      <c r="H229" s="102">
        <f t="shared" si="107"/>
        <v>3.31</v>
      </c>
      <c r="I229" s="131" t="s">
        <v>49</v>
      </c>
      <c r="J229" s="35">
        <v>228</v>
      </c>
      <c r="K229" s="101">
        <v>145</v>
      </c>
      <c r="L229" s="132"/>
      <c r="M229" s="105"/>
      <c r="N229" s="33">
        <f t="shared" si="104"/>
        <v>142.238095238095</v>
      </c>
      <c r="O229" s="133">
        <v>2823.25</v>
      </c>
      <c r="P229" s="20"/>
      <c r="Q229" s="20"/>
      <c r="R229" s="20"/>
      <c r="S229" s="20"/>
      <c r="T229" s="20"/>
      <c r="U229" s="20"/>
      <c r="W229" s="2"/>
    </row>
    <row r="230" s="86" customFormat="1" ht="15" hidden="1" customHeight="1" spans="2:25">
      <c r="B230" s="96" t="s">
        <v>72</v>
      </c>
      <c r="C230" s="26" t="s">
        <v>90</v>
      </c>
      <c r="D230" s="27">
        <f t="shared" ref="D230:H230" si="109">SUM(D231:D234)</f>
        <v>251.34</v>
      </c>
      <c r="E230" s="27">
        <f t="shared" si="109"/>
        <v>0</v>
      </c>
      <c r="F230" s="27">
        <f t="shared" si="109"/>
        <v>0</v>
      </c>
      <c r="G230" s="27">
        <f t="shared" si="109"/>
        <v>0</v>
      </c>
      <c r="H230" s="27">
        <f t="shared" si="109"/>
        <v>251.34</v>
      </c>
      <c r="I230" s="28" t="s">
        <v>17</v>
      </c>
      <c r="J230" s="27">
        <f>J223</f>
        <v>1.3</v>
      </c>
      <c r="K230" s="29">
        <f>H230/J230*10000</f>
        <v>1933384.61538462</v>
      </c>
      <c r="L230" s="107"/>
      <c r="M230" s="97"/>
      <c r="N230" s="32"/>
      <c r="O230" s="32"/>
      <c r="P230" s="20"/>
      <c r="Q230" s="20"/>
      <c r="R230" s="20"/>
      <c r="S230" s="20"/>
      <c r="T230" s="20"/>
      <c r="U230" s="20"/>
      <c r="V230" s="6"/>
      <c r="W230" s="2"/>
      <c r="X230" s="146"/>
      <c r="Y230" s="146"/>
    </row>
    <row r="231" ht="15" customHeight="1" spans="2:25">
      <c r="B231" s="127">
        <v>1</v>
      </c>
      <c r="C231" s="134" t="s">
        <v>244</v>
      </c>
      <c r="D231" s="101">
        <f t="shared" ref="D231:D234" si="110">ROUND(J231*K231/10000,2)</f>
        <v>141.12</v>
      </c>
      <c r="E231" s="129"/>
      <c r="F231" s="129"/>
      <c r="G231" s="130"/>
      <c r="H231" s="102">
        <f t="shared" ref="H231:H234" si="111">SUM(D231:G231)</f>
        <v>141.12</v>
      </c>
      <c r="I231" s="131" t="s">
        <v>34</v>
      </c>
      <c r="J231" s="35">
        <v>1400</v>
      </c>
      <c r="K231" s="101">
        <v>1008</v>
      </c>
      <c r="L231" s="132"/>
      <c r="M231" s="105"/>
      <c r="N231" s="33">
        <f t="shared" ref="N231:N234" si="112">K231/1.05*1.03</f>
        <v>988.8</v>
      </c>
      <c r="O231" s="133">
        <v>2823.25</v>
      </c>
      <c r="P231" s="20"/>
      <c r="Q231" s="20"/>
      <c r="R231" s="20"/>
      <c r="S231" s="20"/>
      <c r="T231" s="20"/>
      <c r="U231" s="20"/>
      <c r="W231" s="2"/>
    </row>
    <row r="232" ht="15" customHeight="1" spans="2:25">
      <c r="B232" s="127">
        <f t="shared" ref="B232:B234" si="113">B231+1</f>
        <v>2</v>
      </c>
      <c r="C232" s="134" t="s">
        <v>245</v>
      </c>
      <c r="D232" s="101">
        <f t="shared" si="110"/>
        <v>42.87</v>
      </c>
      <c r="E232" s="129"/>
      <c r="F232" s="129"/>
      <c r="G232" s="130"/>
      <c r="H232" s="102">
        <f t="shared" si="111"/>
        <v>42.87</v>
      </c>
      <c r="I232" s="131" t="s">
        <v>34</v>
      </c>
      <c r="J232" s="35">
        <v>280</v>
      </c>
      <c r="K232" s="101">
        <v>1531</v>
      </c>
      <c r="L232" s="132"/>
      <c r="M232" s="105"/>
      <c r="N232" s="33">
        <f t="shared" si="112"/>
        <v>1501.8380952381</v>
      </c>
      <c r="O232" s="133">
        <v>2823.25</v>
      </c>
      <c r="P232" s="20"/>
      <c r="Q232" s="20"/>
      <c r="R232" s="20"/>
      <c r="S232" s="20"/>
      <c r="T232" s="20"/>
      <c r="U232" s="20"/>
      <c r="W232" s="2"/>
    </row>
    <row r="233" ht="15" hidden="1" customHeight="1" spans="2:25">
      <c r="B233" s="127">
        <f t="shared" si="113"/>
        <v>3</v>
      </c>
      <c r="C233" s="134" t="s">
        <v>246</v>
      </c>
      <c r="D233" s="101">
        <f t="shared" si="110"/>
        <v>42.56</v>
      </c>
      <c r="E233" s="129"/>
      <c r="F233" s="129"/>
      <c r="G233" s="130"/>
      <c r="H233" s="102">
        <f t="shared" si="111"/>
        <v>42.56</v>
      </c>
      <c r="I233" s="131" t="s">
        <v>119</v>
      </c>
      <c r="J233" s="35">
        <v>24</v>
      </c>
      <c r="K233" s="101">
        <v>17733</v>
      </c>
      <c r="L233" s="132"/>
      <c r="M233" s="105"/>
      <c r="N233" s="33">
        <f t="shared" si="112"/>
        <v>17395.2285714286</v>
      </c>
      <c r="O233" s="133">
        <v>2823.25</v>
      </c>
      <c r="P233" s="20"/>
      <c r="Q233" s="20"/>
      <c r="R233" s="20"/>
      <c r="S233" s="20"/>
      <c r="T233" s="20"/>
      <c r="U233" s="20"/>
      <c r="W233" s="2"/>
    </row>
    <row r="234" ht="15" hidden="1" customHeight="1" spans="2:25">
      <c r="B234" s="127">
        <f t="shared" si="113"/>
        <v>4</v>
      </c>
      <c r="C234" s="134" t="s">
        <v>247</v>
      </c>
      <c r="D234" s="101">
        <f t="shared" si="110"/>
        <v>24.79</v>
      </c>
      <c r="E234" s="129"/>
      <c r="F234" s="129"/>
      <c r="G234" s="130"/>
      <c r="H234" s="102">
        <f t="shared" si="111"/>
        <v>24.79</v>
      </c>
      <c r="I234" s="131" t="s">
        <v>119</v>
      </c>
      <c r="J234" s="35">
        <v>10</v>
      </c>
      <c r="K234" s="101">
        <v>24793</v>
      </c>
      <c r="L234" s="132"/>
      <c r="M234" s="105"/>
      <c r="N234" s="33">
        <f t="shared" si="112"/>
        <v>24320.7523809524</v>
      </c>
      <c r="O234" s="133">
        <v>2823.25</v>
      </c>
      <c r="P234" s="20"/>
      <c r="Q234" s="20"/>
      <c r="R234" s="20"/>
      <c r="S234" s="20"/>
      <c r="T234" s="20"/>
      <c r="U234" s="20"/>
      <c r="W234" s="2"/>
    </row>
    <row r="235" s="86" customFormat="1" ht="15" hidden="1" customHeight="1" spans="2:25">
      <c r="B235" s="96" t="s">
        <v>79</v>
      </c>
      <c r="C235" s="26" t="s">
        <v>248</v>
      </c>
      <c r="D235" s="27">
        <f t="shared" ref="D235:H235" si="114">SUM(D236:D245)</f>
        <v>249.76</v>
      </c>
      <c r="E235" s="27">
        <f t="shared" si="114"/>
        <v>0</v>
      </c>
      <c r="F235" s="27">
        <f t="shared" si="114"/>
        <v>0</v>
      </c>
      <c r="G235" s="27">
        <f t="shared" si="114"/>
        <v>0</v>
      </c>
      <c r="H235" s="27">
        <f t="shared" si="114"/>
        <v>249.76</v>
      </c>
      <c r="I235" s="28" t="s">
        <v>17</v>
      </c>
      <c r="J235" s="27">
        <f>J230</f>
        <v>1.3</v>
      </c>
      <c r="K235" s="29">
        <f>H235/J235*10000</f>
        <v>1921230.76923077</v>
      </c>
      <c r="L235" s="107"/>
      <c r="M235" s="97"/>
      <c r="N235" s="32"/>
      <c r="O235" s="32"/>
      <c r="P235" s="20"/>
      <c r="Q235" s="20"/>
      <c r="R235" s="20"/>
      <c r="S235" s="20"/>
      <c r="T235" s="20"/>
      <c r="U235" s="20"/>
      <c r="V235" s="6"/>
      <c r="W235" s="2"/>
      <c r="X235" s="146"/>
      <c r="Y235" s="146"/>
    </row>
    <row r="236" ht="15" hidden="1" customHeight="1" spans="2:25">
      <c r="B236" s="127">
        <v>1</v>
      </c>
      <c r="C236" s="134" t="s">
        <v>291</v>
      </c>
      <c r="D236" s="101">
        <f t="shared" ref="D236:D245" si="115">ROUND(J236*K236/10000,2)</f>
        <v>76.2</v>
      </c>
      <c r="E236" s="129"/>
      <c r="F236" s="129"/>
      <c r="G236" s="130"/>
      <c r="H236" s="102">
        <f t="shared" ref="H236:H245" si="116">SUM(D236:G236)</f>
        <v>76.2</v>
      </c>
      <c r="I236" s="131" t="s">
        <v>52</v>
      </c>
      <c r="J236" s="35">
        <v>102</v>
      </c>
      <c r="K236" s="101">
        <v>7471</v>
      </c>
      <c r="L236" s="132"/>
      <c r="M236" s="105"/>
      <c r="N236" s="33">
        <f t="shared" ref="N236:N245" si="117">K236/1.05*1.03</f>
        <v>7328.69523809524</v>
      </c>
      <c r="O236" s="133">
        <v>2823.25</v>
      </c>
      <c r="P236" s="20"/>
      <c r="Q236" s="20"/>
      <c r="R236" s="20"/>
      <c r="S236" s="20"/>
      <c r="T236" s="20"/>
      <c r="U236" s="20"/>
      <c r="W236" s="2"/>
    </row>
    <row r="237" ht="15" hidden="1" customHeight="1" spans="2:25">
      <c r="B237" s="127">
        <f t="shared" ref="B237:B245" si="118">B236+1</f>
        <v>2</v>
      </c>
      <c r="C237" s="134" t="s">
        <v>250</v>
      </c>
      <c r="D237" s="101">
        <f t="shared" si="115"/>
        <v>16.49</v>
      </c>
      <c r="E237" s="129"/>
      <c r="F237" s="129"/>
      <c r="G237" s="130"/>
      <c r="H237" s="102">
        <f t="shared" si="116"/>
        <v>16.49</v>
      </c>
      <c r="I237" s="131" t="s">
        <v>52</v>
      </c>
      <c r="J237" s="35">
        <v>7</v>
      </c>
      <c r="K237" s="101">
        <v>23564</v>
      </c>
      <c r="L237" s="132"/>
      <c r="M237" s="105"/>
      <c r="N237" s="33">
        <f t="shared" si="117"/>
        <v>23115.1619047619</v>
      </c>
      <c r="O237" s="133">
        <v>2823.25</v>
      </c>
      <c r="P237" s="20"/>
      <c r="Q237" s="20"/>
      <c r="R237" s="20"/>
      <c r="S237" s="20"/>
      <c r="T237" s="20"/>
      <c r="U237" s="20"/>
      <c r="W237" s="2"/>
    </row>
    <row r="238" ht="15" hidden="1" customHeight="1" spans="2:25">
      <c r="B238" s="127">
        <f t="shared" si="118"/>
        <v>3</v>
      </c>
      <c r="C238" s="134" t="s">
        <v>251</v>
      </c>
      <c r="D238" s="101">
        <f t="shared" si="115"/>
        <v>17.71</v>
      </c>
      <c r="E238" s="129"/>
      <c r="F238" s="129"/>
      <c r="G238" s="130"/>
      <c r="H238" s="102">
        <f t="shared" si="116"/>
        <v>17.71</v>
      </c>
      <c r="I238" s="131" t="s">
        <v>252</v>
      </c>
      <c r="J238" s="35">
        <v>1</v>
      </c>
      <c r="K238" s="101">
        <v>177091</v>
      </c>
      <c r="L238" s="132"/>
      <c r="M238" s="105"/>
      <c r="N238" s="33">
        <f t="shared" si="117"/>
        <v>173717.838095238</v>
      </c>
      <c r="O238" s="133">
        <v>2823.25</v>
      </c>
      <c r="P238" s="20"/>
      <c r="Q238" s="20"/>
      <c r="R238" s="20"/>
      <c r="S238" s="20"/>
      <c r="T238" s="20"/>
      <c r="U238" s="20"/>
      <c r="W238" s="2"/>
    </row>
    <row r="239" ht="15" hidden="1" customHeight="1" spans="2:25">
      <c r="B239" s="127">
        <f t="shared" si="118"/>
        <v>4</v>
      </c>
      <c r="C239" s="134" t="s">
        <v>253</v>
      </c>
      <c r="D239" s="101">
        <f t="shared" si="115"/>
        <v>4.88</v>
      </c>
      <c r="E239" s="129"/>
      <c r="F239" s="129"/>
      <c r="G239" s="130"/>
      <c r="H239" s="102">
        <f t="shared" si="116"/>
        <v>4.88</v>
      </c>
      <c r="I239" s="131" t="s">
        <v>252</v>
      </c>
      <c r="J239" s="35">
        <v>1</v>
      </c>
      <c r="K239" s="101">
        <v>48762</v>
      </c>
      <c r="L239" s="132"/>
      <c r="M239" s="105"/>
      <c r="N239" s="33">
        <f t="shared" si="117"/>
        <v>47833.2</v>
      </c>
      <c r="O239" s="133">
        <v>2823.25</v>
      </c>
      <c r="P239" s="20"/>
      <c r="Q239" s="20"/>
      <c r="R239" s="20"/>
      <c r="S239" s="20"/>
      <c r="T239" s="20"/>
      <c r="U239" s="20"/>
      <c r="W239" s="2"/>
    </row>
    <row r="240" ht="15" hidden="1" customHeight="1" spans="2:25">
      <c r="B240" s="127">
        <f t="shared" si="118"/>
        <v>5</v>
      </c>
      <c r="C240" s="134" t="s">
        <v>254</v>
      </c>
      <c r="D240" s="101">
        <f t="shared" si="115"/>
        <v>6.53</v>
      </c>
      <c r="E240" s="129"/>
      <c r="F240" s="129"/>
      <c r="G240" s="130"/>
      <c r="H240" s="102">
        <f t="shared" si="116"/>
        <v>6.53</v>
      </c>
      <c r="I240" s="131" t="s">
        <v>119</v>
      </c>
      <c r="J240" s="35">
        <v>30</v>
      </c>
      <c r="K240" s="101">
        <v>2176</v>
      </c>
      <c r="L240" s="132"/>
      <c r="M240" s="105"/>
      <c r="N240" s="33">
        <f t="shared" si="117"/>
        <v>2134.55238095238</v>
      </c>
      <c r="O240" s="133">
        <v>2823.25</v>
      </c>
      <c r="P240" s="20"/>
      <c r="Q240" s="20"/>
      <c r="R240" s="20"/>
      <c r="S240" s="20"/>
      <c r="T240" s="20"/>
      <c r="U240" s="20"/>
      <c r="W240" s="2"/>
    </row>
    <row r="241" ht="15" customHeight="1" spans="2:23">
      <c r="B241" s="127">
        <f t="shared" si="118"/>
        <v>6</v>
      </c>
      <c r="C241" s="134" t="s">
        <v>255</v>
      </c>
      <c r="D241" s="101">
        <f t="shared" si="115"/>
        <v>70.99</v>
      </c>
      <c r="E241" s="129"/>
      <c r="F241" s="129"/>
      <c r="G241" s="130"/>
      <c r="H241" s="102">
        <f t="shared" si="116"/>
        <v>70.99</v>
      </c>
      <c r="I241" s="131" t="s">
        <v>34</v>
      </c>
      <c r="J241" s="35">
        <v>4080</v>
      </c>
      <c r="K241" s="101">
        <v>174</v>
      </c>
      <c r="L241" s="132"/>
      <c r="M241" s="105"/>
      <c r="N241" s="33">
        <f t="shared" si="117"/>
        <v>170.685714285714</v>
      </c>
      <c r="O241" s="133">
        <v>2823.25</v>
      </c>
      <c r="P241" s="20"/>
      <c r="Q241" s="20"/>
      <c r="R241" s="20"/>
      <c r="S241" s="20"/>
      <c r="T241" s="20"/>
      <c r="U241" s="20"/>
      <c r="W241" s="2"/>
    </row>
    <row r="242" ht="15" customHeight="1" spans="2:23">
      <c r="B242" s="127">
        <f t="shared" si="118"/>
        <v>7</v>
      </c>
      <c r="C242" s="134" t="s">
        <v>256</v>
      </c>
      <c r="D242" s="101">
        <f t="shared" si="115"/>
        <v>43.04</v>
      </c>
      <c r="E242" s="129"/>
      <c r="F242" s="129"/>
      <c r="G242" s="130"/>
      <c r="H242" s="102">
        <f t="shared" si="116"/>
        <v>43.04</v>
      </c>
      <c r="I242" s="131" t="s">
        <v>34</v>
      </c>
      <c r="J242" s="35">
        <v>3710</v>
      </c>
      <c r="K242" s="101">
        <v>116</v>
      </c>
      <c r="L242" s="132"/>
      <c r="M242" s="105"/>
      <c r="N242" s="33">
        <f t="shared" si="117"/>
        <v>113.790476190476</v>
      </c>
      <c r="O242" s="133">
        <v>2823.25</v>
      </c>
      <c r="P242" s="20"/>
      <c r="Q242" s="20"/>
      <c r="R242" s="20"/>
      <c r="S242" s="20"/>
      <c r="T242" s="20"/>
      <c r="U242" s="20"/>
      <c r="W242" s="2"/>
    </row>
    <row r="243" ht="15" hidden="1" customHeight="1" spans="2:23">
      <c r="B243" s="127">
        <f t="shared" si="118"/>
        <v>8</v>
      </c>
      <c r="C243" s="134" t="s">
        <v>257</v>
      </c>
      <c r="D243" s="101">
        <f t="shared" si="115"/>
        <v>11.54</v>
      </c>
      <c r="E243" s="129"/>
      <c r="F243" s="129"/>
      <c r="G243" s="130"/>
      <c r="H243" s="102">
        <f t="shared" si="116"/>
        <v>11.54</v>
      </c>
      <c r="I243" s="131" t="s">
        <v>49</v>
      </c>
      <c r="J243" s="35">
        <v>740</v>
      </c>
      <c r="K243" s="101">
        <v>156</v>
      </c>
      <c r="L243" s="132"/>
      <c r="M243" s="105"/>
      <c r="N243" s="33">
        <f t="shared" si="117"/>
        <v>153.028571428571</v>
      </c>
      <c r="O243" s="133">
        <v>2823.25</v>
      </c>
      <c r="P243" s="20"/>
      <c r="Q243" s="20"/>
      <c r="R243" s="20"/>
      <c r="S243" s="20"/>
      <c r="T243" s="20"/>
      <c r="U243" s="20"/>
      <c r="W243" s="2"/>
    </row>
    <row r="244" ht="15" customHeight="1" spans="2:23">
      <c r="B244" s="127">
        <f t="shared" si="118"/>
        <v>9</v>
      </c>
      <c r="C244" s="134" t="s">
        <v>258</v>
      </c>
      <c r="D244" s="101">
        <f t="shared" si="115"/>
        <v>0.45</v>
      </c>
      <c r="E244" s="129"/>
      <c r="F244" s="129"/>
      <c r="G244" s="130"/>
      <c r="H244" s="102">
        <f t="shared" si="116"/>
        <v>0.45</v>
      </c>
      <c r="I244" s="131" t="s">
        <v>34</v>
      </c>
      <c r="J244" s="35">
        <v>150</v>
      </c>
      <c r="K244" s="101">
        <v>30</v>
      </c>
      <c r="L244" s="132"/>
      <c r="M244" s="105"/>
      <c r="N244" s="33">
        <f t="shared" si="117"/>
        <v>29.4285714285714</v>
      </c>
      <c r="O244" s="133">
        <v>2823.25</v>
      </c>
      <c r="P244" s="20"/>
      <c r="Q244" s="20"/>
      <c r="R244" s="20"/>
      <c r="S244" s="20"/>
      <c r="T244" s="20"/>
      <c r="U244" s="20"/>
      <c r="W244" s="2"/>
    </row>
    <row r="245" ht="15" hidden="1" customHeight="1" spans="2:23">
      <c r="B245" s="127">
        <f t="shared" si="118"/>
        <v>10</v>
      </c>
      <c r="C245" s="134" t="s">
        <v>243</v>
      </c>
      <c r="D245" s="101">
        <f t="shared" si="115"/>
        <v>1.93</v>
      </c>
      <c r="E245" s="129"/>
      <c r="F245" s="129"/>
      <c r="G245" s="130"/>
      <c r="H245" s="102">
        <f t="shared" si="116"/>
        <v>1.93</v>
      </c>
      <c r="I245" s="131" t="s">
        <v>49</v>
      </c>
      <c r="J245" s="35">
        <v>133</v>
      </c>
      <c r="K245" s="101">
        <v>145</v>
      </c>
      <c r="L245" s="132"/>
      <c r="M245" s="105"/>
      <c r="N245" s="33">
        <f t="shared" si="117"/>
        <v>142.238095238095</v>
      </c>
      <c r="O245" s="133">
        <v>2823.25</v>
      </c>
      <c r="P245" s="20"/>
      <c r="Q245" s="20"/>
      <c r="R245" s="20"/>
      <c r="S245" s="20"/>
      <c r="T245" s="20"/>
      <c r="U245" s="20"/>
      <c r="W245" s="2"/>
    </row>
    <row r="246" ht="15" hidden="1" customHeight="1" spans="2:23">
      <c r="B246" s="96" t="s">
        <v>84</v>
      </c>
      <c r="C246" s="26" t="s">
        <v>259</v>
      </c>
      <c r="D246" s="27">
        <f t="shared" ref="D246:H246" si="119">SUM(D247:D255)</f>
        <v>106.85</v>
      </c>
      <c r="E246" s="27">
        <f t="shared" si="119"/>
        <v>0</v>
      </c>
      <c r="F246" s="27">
        <f t="shared" si="119"/>
        <v>0</v>
      </c>
      <c r="G246" s="27">
        <f t="shared" si="119"/>
        <v>0</v>
      </c>
      <c r="H246" s="27">
        <f t="shared" si="119"/>
        <v>106.85</v>
      </c>
      <c r="I246" s="28" t="s">
        <v>17</v>
      </c>
      <c r="J246" s="27">
        <f>J173</f>
        <v>1.3</v>
      </c>
      <c r="K246" s="29">
        <f>H246*10000/J246</f>
        <v>821923.076923077</v>
      </c>
      <c r="L246" s="147"/>
      <c r="M246" s="148"/>
      <c r="N246" s="149"/>
      <c r="O246" s="149"/>
      <c r="P246" s="20"/>
      <c r="Q246" s="20"/>
      <c r="R246" s="20"/>
      <c r="S246" s="20"/>
      <c r="T246" s="20"/>
      <c r="U246" s="20"/>
      <c r="V246" s="34"/>
      <c r="W246" s="2"/>
    </row>
    <row r="247" ht="15" customHeight="1" spans="2:23">
      <c r="B247" s="150">
        <v>1</v>
      </c>
      <c r="C247" s="100" t="s">
        <v>260</v>
      </c>
      <c r="D247" s="101">
        <f t="shared" ref="D247:D255" si="120">ROUND(J247*K247/10000,2)</f>
        <v>65</v>
      </c>
      <c r="E247" s="101"/>
      <c r="F247" s="21"/>
      <c r="G247" s="103"/>
      <c r="H247" s="102">
        <f t="shared" ref="H247:H255" si="121">SUM(D247:G247)</f>
        <v>65</v>
      </c>
      <c r="I247" s="103" t="s">
        <v>34</v>
      </c>
      <c r="J247" s="35">
        <f>1300</f>
        <v>1300</v>
      </c>
      <c r="K247" s="101">
        <f>500000/1000</f>
        <v>500</v>
      </c>
      <c r="L247" s="23"/>
      <c r="M247" s="151"/>
      <c r="N247" s="33">
        <f t="shared" ref="N247:N255" si="122">K247/1.05*1.03</f>
        <v>490.47619047619</v>
      </c>
      <c r="O247" s="152">
        <v>55.6</v>
      </c>
      <c r="P247" s="20"/>
      <c r="Q247" s="20"/>
      <c r="R247" s="20"/>
      <c r="S247" s="20"/>
      <c r="T247" s="20"/>
      <c r="U247" s="20"/>
      <c r="W247" s="2"/>
    </row>
    <row r="248" ht="15" hidden="1" customHeight="1" spans="2:23">
      <c r="B248" s="150">
        <v>2</v>
      </c>
      <c r="C248" s="100" t="s">
        <v>261</v>
      </c>
      <c r="D248" s="101">
        <f t="shared" si="120"/>
        <v>0</v>
      </c>
      <c r="E248" s="101"/>
      <c r="F248" s="21"/>
      <c r="G248" s="103"/>
      <c r="H248" s="102">
        <f t="shared" si="121"/>
        <v>0</v>
      </c>
      <c r="I248" s="103" t="s">
        <v>49</v>
      </c>
      <c r="J248" s="35">
        <f t="shared" ref="J248:J253" si="123">SUM(P248:T248)</f>
        <v>0</v>
      </c>
      <c r="K248" s="101">
        <v>66111.6094285714</v>
      </c>
      <c r="L248" s="23"/>
      <c r="M248" s="151"/>
      <c r="N248" s="33">
        <f t="shared" si="122"/>
        <v>64852.340677551</v>
      </c>
      <c r="O248" s="152">
        <v>67395.33</v>
      </c>
      <c r="P248" s="20"/>
      <c r="Q248" s="20"/>
      <c r="R248" s="20"/>
      <c r="S248" s="20"/>
      <c r="T248" s="20"/>
      <c r="U248" s="20"/>
      <c r="W248" s="2"/>
    </row>
    <row r="249" ht="15" hidden="1" customHeight="1" spans="2:23">
      <c r="B249" s="150">
        <v>3</v>
      </c>
      <c r="C249" s="100" t="s">
        <v>262</v>
      </c>
      <c r="D249" s="101">
        <f t="shared" si="120"/>
        <v>0</v>
      </c>
      <c r="E249" s="101"/>
      <c r="F249" s="21"/>
      <c r="G249" s="103"/>
      <c r="H249" s="102">
        <f t="shared" si="121"/>
        <v>0</v>
      </c>
      <c r="I249" s="103" t="s">
        <v>49</v>
      </c>
      <c r="J249" s="35">
        <f t="shared" si="123"/>
        <v>0</v>
      </c>
      <c r="K249" s="101">
        <v>18836.2476190476</v>
      </c>
      <c r="L249" s="23"/>
      <c r="M249" s="151"/>
      <c r="N249" s="33">
        <f t="shared" si="122"/>
        <v>18477.4619501134</v>
      </c>
      <c r="O249" s="152">
        <v>19202</v>
      </c>
      <c r="P249" s="20"/>
      <c r="Q249" s="20"/>
      <c r="R249" s="20"/>
      <c r="S249" s="20"/>
      <c r="T249" s="20"/>
      <c r="U249" s="20"/>
      <c r="W249" s="2"/>
    </row>
    <row r="250" ht="15" hidden="1" customHeight="1" spans="2:23">
      <c r="B250" s="150">
        <v>4</v>
      </c>
      <c r="C250" s="100" t="s">
        <v>263</v>
      </c>
      <c r="D250" s="101">
        <f t="shared" si="120"/>
        <v>0</v>
      </c>
      <c r="E250" s="101"/>
      <c r="F250" s="21"/>
      <c r="G250" s="103"/>
      <c r="H250" s="102">
        <f t="shared" si="121"/>
        <v>0</v>
      </c>
      <c r="I250" s="103" t="s">
        <v>49</v>
      </c>
      <c r="J250" s="35">
        <f t="shared" si="123"/>
        <v>0</v>
      </c>
      <c r="K250" s="101">
        <v>16667.3619047619</v>
      </c>
      <c r="L250" s="23"/>
      <c r="M250" s="151"/>
      <c r="N250" s="33">
        <f t="shared" si="122"/>
        <v>16349.8883446712</v>
      </c>
      <c r="O250" s="152">
        <v>16991</v>
      </c>
      <c r="P250" s="20"/>
      <c r="Q250" s="20"/>
      <c r="R250" s="20"/>
      <c r="S250" s="20"/>
      <c r="T250" s="20"/>
      <c r="U250" s="20"/>
      <c r="W250" s="2"/>
    </row>
    <row r="251" ht="15" hidden="1" customHeight="1" spans="2:23">
      <c r="B251" s="150">
        <v>5</v>
      </c>
      <c r="C251" s="100" t="s">
        <v>264</v>
      </c>
      <c r="D251" s="101">
        <f t="shared" si="120"/>
        <v>0</v>
      </c>
      <c r="E251" s="101"/>
      <c r="F251" s="21"/>
      <c r="G251" s="103"/>
      <c r="H251" s="102">
        <f t="shared" si="121"/>
        <v>0</v>
      </c>
      <c r="I251" s="103" t="s">
        <v>49</v>
      </c>
      <c r="J251" s="35">
        <f t="shared" si="123"/>
        <v>0</v>
      </c>
      <c r="K251" s="101">
        <v>5232.4</v>
      </c>
      <c r="L251" s="23"/>
      <c r="M251" s="151"/>
      <c r="N251" s="33">
        <f t="shared" si="122"/>
        <v>5132.73523809524</v>
      </c>
      <c r="O251" s="152">
        <v>5334</v>
      </c>
      <c r="P251" s="20"/>
      <c r="Q251" s="20"/>
      <c r="R251" s="20"/>
      <c r="S251" s="20"/>
      <c r="T251" s="20"/>
      <c r="U251" s="20"/>
      <c r="W251" s="2"/>
    </row>
    <row r="252" ht="15" hidden="1" customHeight="1" spans="2:23">
      <c r="B252" s="150">
        <v>6</v>
      </c>
      <c r="C252" s="100" t="s">
        <v>265</v>
      </c>
      <c r="D252" s="101">
        <f t="shared" si="120"/>
        <v>0</v>
      </c>
      <c r="E252" s="101"/>
      <c r="F252" s="21"/>
      <c r="G252" s="103"/>
      <c r="H252" s="102">
        <f t="shared" si="121"/>
        <v>0</v>
      </c>
      <c r="I252" s="103" t="s">
        <v>49</v>
      </c>
      <c r="J252" s="35">
        <f t="shared" si="123"/>
        <v>0</v>
      </c>
      <c r="K252" s="101">
        <v>1422.62619047619</v>
      </c>
      <c r="L252" s="23"/>
      <c r="M252" s="151"/>
      <c r="N252" s="33">
        <f t="shared" si="122"/>
        <v>1395.52854875283</v>
      </c>
      <c r="O252" s="152">
        <v>1450.25</v>
      </c>
      <c r="P252" s="20"/>
      <c r="Q252" s="20"/>
      <c r="R252" s="20"/>
      <c r="S252" s="20"/>
      <c r="T252" s="20"/>
      <c r="U252" s="20"/>
      <c r="W252" s="2"/>
    </row>
    <row r="253" ht="15" hidden="1" customHeight="1" spans="2:23">
      <c r="B253" s="150">
        <v>7</v>
      </c>
      <c r="C253" s="40" t="s">
        <v>266</v>
      </c>
      <c r="D253" s="101">
        <f t="shared" si="120"/>
        <v>0</v>
      </c>
      <c r="E253" s="101"/>
      <c r="F253" s="35"/>
      <c r="G253" s="102"/>
      <c r="H253" s="102">
        <f t="shared" si="121"/>
        <v>0</v>
      </c>
      <c r="I253" s="103" t="s">
        <v>49</v>
      </c>
      <c r="J253" s="35">
        <f t="shared" si="123"/>
        <v>0</v>
      </c>
      <c r="K253" s="101">
        <v>1906.97142857143</v>
      </c>
      <c r="L253" s="153"/>
      <c r="M253" s="105"/>
      <c r="N253" s="33">
        <f t="shared" si="122"/>
        <v>1870.64816326531</v>
      </c>
      <c r="O253" s="133">
        <v>1944</v>
      </c>
      <c r="P253" s="20"/>
      <c r="Q253" s="20"/>
      <c r="R253" s="20"/>
      <c r="S253" s="20"/>
      <c r="T253" s="20"/>
      <c r="U253" s="20"/>
      <c r="W253" s="2"/>
    </row>
    <row r="254" ht="15" customHeight="1" spans="2:23">
      <c r="B254" s="150">
        <v>8</v>
      </c>
      <c r="C254" s="40" t="s">
        <v>267</v>
      </c>
      <c r="D254" s="101">
        <f t="shared" si="120"/>
        <v>0</v>
      </c>
      <c r="E254" s="101"/>
      <c r="F254" s="35"/>
      <c r="G254" s="102"/>
      <c r="H254" s="102">
        <f t="shared" si="121"/>
        <v>0</v>
      </c>
      <c r="I254" s="103" t="s">
        <v>34</v>
      </c>
      <c r="J254" s="35"/>
      <c r="K254" s="101">
        <v>387</v>
      </c>
      <c r="L254" s="153"/>
      <c r="M254" s="105"/>
      <c r="N254" s="33">
        <f t="shared" si="122"/>
        <v>379.628571428571</v>
      </c>
      <c r="O254" s="133">
        <v>283.16</v>
      </c>
      <c r="P254" s="20"/>
      <c r="Q254" s="20"/>
      <c r="R254" s="20"/>
      <c r="S254" s="20"/>
      <c r="T254" s="20"/>
      <c r="U254" s="20"/>
      <c r="W254" s="2"/>
    </row>
    <row r="255" ht="15" customHeight="1" spans="2:23">
      <c r="B255" s="150">
        <v>9</v>
      </c>
      <c r="C255" s="40" t="s">
        <v>268</v>
      </c>
      <c r="D255" s="101">
        <f t="shared" si="120"/>
        <v>41.85</v>
      </c>
      <c r="E255" s="101"/>
      <c r="F255" s="35"/>
      <c r="G255" s="102"/>
      <c r="H255" s="102">
        <f t="shared" si="121"/>
        <v>41.85</v>
      </c>
      <c r="I255" s="103" t="s">
        <v>34</v>
      </c>
      <c r="J255" s="35">
        <v>1350</v>
      </c>
      <c r="K255" s="101">
        <v>310</v>
      </c>
      <c r="L255" s="153"/>
      <c r="M255" s="105"/>
      <c r="N255" s="33">
        <f t="shared" si="122"/>
        <v>304.095238095238</v>
      </c>
      <c r="O255" s="133">
        <v>283.16</v>
      </c>
      <c r="P255" s="20"/>
      <c r="Q255" s="20"/>
      <c r="R255" s="20"/>
      <c r="S255" s="20"/>
      <c r="T255" s="20"/>
      <c r="U255" s="20"/>
      <c r="W255" s="2"/>
    </row>
    <row r="256" ht="15" hidden="1" customHeight="1" spans="2:23">
      <c r="B256" s="154" t="s">
        <v>89</v>
      </c>
      <c r="C256" s="155" t="s">
        <v>269</v>
      </c>
      <c r="D256" s="45">
        <f t="shared" ref="D256:H256" si="124">SUM(D257:D257)</f>
        <v>0</v>
      </c>
      <c r="E256" s="45">
        <f t="shared" si="124"/>
        <v>0</v>
      </c>
      <c r="F256" s="45">
        <f t="shared" si="124"/>
        <v>0</v>
      </c>
      <c r="G256" s="45">
        <f t="shared" si="124"/>
        <v>0</v>
      </c>
      <c r="H256" s="45">
        <f t="shared" si="124"/>
        <v>0</v>
      </c>
      <c r="I256" s="28" t="s">
        <v>17</v>
      </c>
      <c r="J256" s="28">
        <f>J173</f>
        <v>1.3</v>
      </c>
      <c r="K256" s="29">
        <f>H256*10000/J256</f>
        <v>0</v>
      </c>
      <c r="L256" s="107"/>
      <c r="M256" s="105"/>
      <c r="N256" s="33"/>
      <c r="O256" s="33"/>
      <c r="P256" s="20"/>
      <c r="Q256" s="20"/>
      <c r="R256" s="20"/>
      <c r="S256" s="20"/>
      <c r="T256" s="20"/>
      <c r="U256" s="20"/>
      <c r="V256" s="20"/>
      <c r="W256" s="2"/>
    </row>
    <row r="257" ht="15" hidden="1" customHeight="1" spans="2:25">
      <c r="B257" s="150">
        <v>1</v>
      </c>
      <c r="C257" s="156" t="s">
        <v>269</v>
      </c>
      <c r="D257" s="45"/>
      <c r="E257" s="101">
        <f>ROUND(J257*K257/10000,2)</f>
        <v>0</v>
      </c>
      <c r="F257" s="21"/>
      <c r="G257" s="103"/>
      <c r="H257" s="102">
        <f t="shared" ref="H257:H261" si="125">SUM(D257:G257)</f>
        <v>0</v>
      </c>
      <c r="I257" s="35" t="s">
        <v>49</v>
      </c>
      <c r="J257" s="35">
        <v>0</v>
      </c>
      <c r="K257" s="101">
        <v>490476.19047619</v>
      </c>
      <c r="L257" s="107"/>
      <c r="M257" s="105"/>
      <c r="N257" s="33">
        <f t="shared" ref="N257:N261" si="126">K257/1.05*1.03</f>
        <v>481133.786848072</v>
      </c>
      <c r="O257" s="133">
        <v>500000</v>
      </c>
      <c r="P257" s="20"/>
      <c r="Q257" s="20"/>
      <c r="R257" s="20"/>
      <c r="S257" s="20"/>
      <c r="T257" s="20"/>
      <c r="U257" s="20"/>
      <c r="V257" s="20"/>
      <c r="W257" s="2"/>
    </row>
    <row r="258" ht="15" hidden="1" customHeight="1" spans="2:25">
      <c r="B258" s="96">
        <v>1.4</v>
      </c>
      <c r="C258" s="26" t="s">
        <v>180</v>
      </c>
      <c r="D258" s="27">
        <f t="shared" ref="D258:H258" si="127">D259+D262+D284+D291+D298+D305+D310+D321+D331</f>
        <v>4043.03</v>
      </c>
      <c r="E258" s="27">
        <f t="shared" si="127"/>
        <v>0</v>
      </c>
      <c r="F258" s="27">
        <f t="shared" si="127"/>
        <v>0</v>
      </c>
      <c r="G258" s="27">
        <f t="shared" si="127"/>
        <v>0</v>
      </c>
      <c r="H258" s="27">
        <f t="shared" si="127"/>
        <v>4043.03</v>
      </c>
      <c r="I258" s="28" t="s">
        <v>17</v>
      </c>
      <c r="J258" s="27">
        <f>S2</f>
        <v>0.715</v>
      </c>
      <c r="K258" s="29">
        <f>H258/J258*10000</f>
        <v>56545874.1258741</v>
      </c>
      <c r="L258" s="30"/>
      <c r="M258" s="97"/>
      <c r="N258" s="32"/>
      <c r="O258" s="32"/>
      <c r="P258" s="20"/>
      <c r="Q258" s="20"/>
      <c r="R258" s="20"/>
      <c r="S258" s="20"/>
      <c r="T258" s="20"/>
      <c r="U258" s="20"/>
      <c r="V258" s="34"/>
      <c r="W258" s="2"/>
    </row>
    <row r="259" ht="15" hidden="1" customHeight="1" spans="2:25">
      <c r="B259" s="96" t="s">
        <v>19</v>
      </c>
      <c r="C259" s="26" t="s">
        <v>20</v>
      </c>
      <c r="D259" s="27">
        <f>SUM(D260:D261)</f>
        <v>16.93</v>
      </c>
      <c r="E259" s="27">
        <f t="shared" ref="E259:G259" si="128">SUM(E260:E268)</f>
        <v>0</v>
      </c>
      <c r="F259" s="27">
        <f t="shared" si="128"/>
        <v>0</v>
      </c>
      <c r="G259" s="27">
        <f t="shared" si="128"/>
        <v>0</v>
      </c>
      <c r="H259" s="27">
        <f>SUM(H260:H261)</f>
        <v>16.93</v>
      </c>
      <c r="I259" s="28" t="s">
        <v>17</v>
      </c>
      <c r="J259" s="27">
        <f>J258</f>
        <v>0.715</v>
      </c>
      <c r="K259" s="29">
        <f>H259/J259*10000</f>
        <v>236783.216783217</v>
      </c>
      <c r="L259" s="98"/>
      <c r="M259" s="97"/>
      <c r="N259" s="32"/>
      <c r="O259" s="32"/>
      <c r="P259" s="20"/>
      <c r="Q259" s="20"/>
      <c r="R259" s="20"/>
      <c r="S259" s="20"/>
      <c r="T259" s="20"/>
      <c r="U259" s="20"/>
      <c r="V259" s="20"/>
      <c r="W259" s="2"/>
    </row>
    <row r="260" s="87" customFormat="1" ht="15" hidden="1" customHeight="1" spans="2:25">
      <c r="B260" s="99">
        <v>1</v>
      </c>
      <c r="C260" s="100" t="s">
        <v>197</v>
      </c>
      <c r="D260" s="101">
        <f t="shared" ref="D260:D283" si="129">ROUND(J260*K260/10000,2)</f>
        <v>15.95</v>
      </c>
      <c r="E260" s="35"/>
      <c r="F260" s="35"/>
      <c r="G260" s="102"/>
      <c r="H260" s="102">
        <f t="shared" si="125"/>
        <v>15.95</v>
      </c>
      <c r="I260" s="103" t="s">
        <v>22</v>
      </c>
      <c r="J260" s="35">
        <f>6169*0.3+9781*0.19</f>
        <v>3709.09</v>
      </c>
      <c r="K260" s="101">
        <v>43</v>
      </c>
      <c r="L260" s="104"/>
      <c r="M260" s="105"/>
      <c r="N260" s="33">
        <f t="shared" si="126"/>
        <v>42.1809523809524</v>
      </c>
      <c r="O260" s="157">
        <v>14.05</v>
      </c>
      <c r="P260" s="158"/>
      <c r="Q260" s="158"/>
      <c r="R260" s="158"/>
      <c r="S260" s="158"/>
      <c r="T260" s="158"/>
      <c r="U260" s="158"/>
      <c r="V260" s="159"/>
      <c r="X260" s="159"/>
      <c r="Y260" s="159"/>
    </row>
    <row r="261" ht="15" hidden="1" customHeight="1" spans="2:25">
      <c r="B261" s="99">
        <v>2</v>
      </c>
      <c r="C261" s="100" t="s">
        <v>198</v>
      </c>
      <c r="D261" s="101">
        <f t="shared" si="129"/>
        <v>0.98</v>
      </c>
      <c r="E261" s="21"/>
      <c r="F261" s="21"/>
      <c r="G261" s="103"/>
      <c r="H261" s="102">
        <f t="shared" si="125"/>
        <v>0.98</v>
      </c>
      <c r="I261" s="103" t="s">
        <v>27</v>
      </c>
      <c r="J261" s="35">
        <v>9781</v>
      </c>
      <c r="K261" s="101">
        <v>1</v>
      </c>
      <c r="L261" s="18"/>
      <c r="M261" s="105"/>
      <c r="N261" s="33">
        <f t="shared" si="126"/>
        <v>0.980952380952381</v>
      </c>
      <c r="O261" s="106">
        <v>14.67</v>
      </c>
      <c r="P261" s="20"/>
      <c r="Q261" s="20"/>
      <c r="R261" s="20"/>
      <c r="S261" s="20"/>
      <c r="T261" s="20"/>
      <c r="U261" s="20"/>
      <c r="W261" s="2"/>
    </row>
    <row r="262" ht="15" hidden="1" customHeight="1" spans="2:25">
      <c r="B262" s="96" t="s">
        <v>39</v>
      </c>
      <c r="C262" s="26" t="s">
        <v>40</v>
      </c>
      <c r="D262" s="27">
        <f>SUM(D263:D283)</f>
        <v>794.83</v>
      </c>
      <c r="E262" s="27">
        <f t="shared" ref="E262:G262" si="130">SUM(E263:E271)</f>
        <v>0</v>
      </c>
      <c r="F262" s="27">
        <f t="shared" si="130"/>
        <v>0</v>
      </c>
      <c r="G262" s="27">
        <f t="shared" si="130"/>
        <v>0</v>
      </c>
      <c r="H262" s="27">
        <f>SUM(H263:H283)</f>
        <v>794.83</v>
      </c>
      <c r="I262" s="28" t="s">
        <v>27</v>
      </c>
      <c r="J262" s="27">
        <f>J268+J278</f>
        <v>14991</v>
      </c>
      <c r="K262" s="29">
        <f>H262*10000/J262</f>
        <v>530.204789540391</v>
      </c>
      <c r="L262" s="107"/>
      <c r="M262" s="97"/>
      <c r="N262" s="32"/>
      <c r="O262" s="32"/>
      <c r="P262" s="20"/>
      <c r="Q262" s="20"/>
      <c r="R262" s="20"/>
      <c r="S262" s="20"/>
      <c r="T262" s="20"/>
      <c r="U262" s="20"/>
      <c r="V262" s="34"/>
      <c r="W262" s="2"/>
    </row>
    <row r="263" s="83" customFormat="1" ht="15" hidden="1" customHeight="1" spans="2:25">
      <c r="B263" s="108">
        <v>1</v>
      </c>
      <c r="C263" s="109" t="s">
        <v>199</v>
      </c>
      <c r="D263" s="110">
        <f t="shared" si="129"/>
        <v>54.7</v>
      </c>
      <c r="E263" s="111"/>
      <c r="F263" s="111"/>
      <c r="G263" s="112"/>
      <c r="H263" s="113">
        <f t="shared" ref="H263:H283" si="131">SUM(D263:G263)</f>
        <v>54.7</v>
      </c>
      <c r="I263" s="112" t="s">
        <v>27</v>
      </c>
      <c r="J263" s="114">
        <v>8822</v>
      </c>
      <c r="K263" s="110">
        <v>62</v>
      </c>
      <c r="L263" s="115"/>
      <c r="M263" s="116"/>
      <c r="N263" s="117">
        <f t="shared" ref="N263:N283" si="132">K263/1.05*1.03</f>
        <v>60.8190476190476</v>
      </c>
      <c r="O263" s="118">
        <v>47.411</v>
      </c>
      <c r="P263" s="119">
        <f>J263*0.62</f>
        <v>5469.64</v>
      </c>
      <c r="Q263" s="119"/>
      <c r="R263" s="119"/>
      <c r="S263" s="119"/>
      <c r="T263" s="119"/>
      <c r="U263" s="119"/>
      <c r="V263" s="120"/>
      <c r="X263" s="120"/>
      <c r="Y263" s="120"/>
    </row>
    <row r="264" s="83" customFormat="1" ht="15" hidden="1" customHeight="1" spans="2:25">
      <c r="B264" s="121">
        <f t="shared" ref="B264:B283" si="133">B263+1</f>
        <v>2</v>
      </c>
      <c r="C264" s="122" t="s">
        <v>200</v>
      </c>
      <c r="D264" s="110">
        <f t="shared" si="129"/>
        <v>18.51</v>
      </c>
      <c r="E264" s="123"/>
      <c r="F264" s="123"/>
      <c r="G264" s="124"/>
      <c r="H264" s="113">
        <f t="shared" si="131"/>
        <v>18.51</v>
      </c>
      <c r="I264" s="125" t="s">
        <v>27</v>
      </c>
      <c r="J264" s="114">
        <v>6169</v>
      </c>
      <c r="K264" s="110">
        <v>30</v>
      </c>
      <c r="L264" s="126"/>
      <c r="M264" s="116"/>
      <c r="N264" s="117">
        <f t="shared" si="132"/>
        <v>29.4285714285714</v>
      </c>
      <c r="O264" s="118">
        <v>83.38</v>
      </c>
      <c r="P264" s="119">
        <f>J264*0.36</f>
        <v>2220.84</v>
      </c>
      <c r="Q264" s="119"/>
      <c r="R264" s="119"/>
      <c r="S264" s="119"/>
      <c r="T264" s="119"/>
      <c r="U264" s="119"/>
      <c r="V264" s="120"/>
      <c r="X264" s="120"/>
      <c r="Y264" s="120"/>
    </row>
    <row r="265" ht="15" customHeight="1" spans="2:25">
      <c r="B265" s="127">
        <f t="shared" si="133"/>
        <v>3</v>
      </c>
      <c r="C265" s="128" t="s">
        <v>201</v>
      </c>
      <c r="D265" s="101">
        <f t="shared" si="129"/>
        <v>2.05</v>
      </c>
      <c r="E265" s="129"/>
      <c r="F265" s="129"/>
      <c r="G265" s="130"/>
      <c r="H265" s="102">
        <f t="shared" si="131"/>
        <v>2.05</v>
      </c>
      <c r="I265" s="131" t="s">
        <v>34</v>
      </c>
      <c r="J265" s="35">
        <v>1579</v>
      </c>
      <c r="K265" s="101">
        <v>13</v>
      </c>
      <c r="L265" s="132"/>
      <c r="M265" s="105"/>
      <c r="N265" s="33">
        <f t="shared" si="132"/>
        <v>12.752380952381</v>
      </c>
      <c r="O265" s="133">
        <v>78.762</v>
      </c>
      <c r="P265" s="20"/>
      <c r="Q265" s="20"/>
      <c r="R265" s="20"/>
      <c r="S265" s="20"/>
      <c r="T265" s="20"/>
      <c r="U265" s="20"/>
      <c r="W265" s="2"/>
    </row>
    <row r="266" ht="15" customHeight="1" spans="2:25">
      <c r="B266" s="127">
        <f t="shared" si="133"/>
        <v>4</v>
      </c>
      <c r="C266" s="128" t="s">
        <v>202</v>
      </c>
      <c r="D266" s="101">
        <f t="shared" si="129"/>
        <v>1.32</v>
      </c>
      <c r="E266" s="129"/>
      <c r="F266" s="129"/>
      <c r="G266" s="130"/>
      <c r="H266" s="102">
        <f t="shared" si="131"/>
        <v>1.32</v>
      </c>
      <c r="I266" s="131" t="s">
        <v>34</v>
      </c>
      <c r="J266" s="35">
        <v>1654</v>
      </c>
      <c r="K266" s="101">
        <v>8</v>
      </c>
      <c r="L266" s="132"/>
      <c r="M266" s="105"/>
      <c r="N266" s="33">
        <f t="shared" si="132"/>
        <v>7.84761904761905</v>
      </c>
      <c r="O266" s="133">
        <v>3.434</v>
      </c>
      <c r="P266" s="20"/>
      <c r="Q266" s="20"/>
      <c r="R266" s="20"/>
      <c r="S266" s="20"/>
      <c r="T266" s="20"/>
      <c r="U266" s="20"/>
      <c r="W266" s="2"/>
    </row>
    <row r="267" ht="15" customHeight="1" spans="2:25">
      <c r="B267" s="127">
        <f t="shared" si="133"/>
        <v>5</v>
      </c>
      <c r="C267" s="128" t="s">
        <v>203</v>
      </c>
      <c r="D267" s="101">
        <f t="shared" si="129"/>
        <v>0</v>
      </c>
      <c r="E267" s="129"/>
      <c r="F267" s="129"/>
      <c r="G267" s="130"/>
      <c r="H267" s="102">
        <f t="shared" si="131"/>
        <v>0</v>
      </c>
      <c r="I267" s="131" t="s">
        <v>34</v>
      </c>
      <c r="J267" s="35">
        <v>0</v>
      </c>
      <c r="K267" s="101">
        <v>230</v>
      </c>
      <c r="L267" s="132"/>
      <c r="M267" s="105"/>
      <c r="N267" s="33">
        <f t="shared" si="132"/>
        <v>225.619047619048</v>
      </c>
      <c r="O267" s="133">
        <v>21.646</v>
      </c>
      <c r="P267" s="20"/>
      <c r="Q267" s="20"/>
      <c r="R267" s="20"/>
      <c r="S267" s="20"/>
      <c r="T267" s="20"/>
      <c r="U267" s="20"/>
      <c r="W267" s="2"/>
    </row>
    <row r="268" ht="15" hidden="1" customHeight="1" spans="2:25">
      <c r="B268" s="127">
        <f t="shared" si="133"/>
        <v>6</v>
      </c>
      <c r="C268" s="128" t="s">
        <v>204</v>
      </c>
      <c r="D268" s="101">
        <f t="shared" si="129"/>
        <v>92.63</v>
      </c>
      <c r="E268" s="129"/>
      <c r="F268" s="129"/>
      <c r="G268" s="130"/>
      <c r="H268" s="102">
        <f t="shared" si="131"/>
        <v>92.63</v>
      </c>
      <c r="I268" s="131" t="s">
        <v>27</v>
      </c>
      <c r="J268" s="35">
        <v>8822</v>
      </c>
      <c r="K268" s="101">
        <v>105</v>
      </c>
      <c r="L268" s="132"/>
      <c r="M268" s="105"/>
      <c r="N268" s="33">
        <f t="shared" si="132"/>
        <v>103</v>
      </c>
      <c r="O268" s="133">
        <v>6.15</v>
      </c>
      <c r="P268" s="20"/>
      <c r="Q268" s="20"/>
      <c r="R268" s="20"/>
      <c r="S268" s="20"/>
      <c r="T268" s="20"/>
      <c r="U268" s="20"/>
      <c r="W268" s="2"/>
    </row>
    <row r="269" ht="15" hidden="1" customHeight="1" spans="2:25">
      <c r="B269" s="127">
        <f t="shared" si="133"/>
        <v>7</v>
      </c>
      <c r="C269" s="128" t="s">
        <v>205</v>
      </c>
      <c r="D269" s="101">
        <f t="shared" si="129"/>
        <v>0</v>
      </c>
      <c r="E269" s="129"/>
      <c r="F269" s="129"/>
      <c r="G269" s="130"/>
      <c r="H269" s="102">
        <f t="shared" si="131"/>
        <v>0</v>
      </c>
      <c r="I269" s="131" t="s">
        <v>27</v>
      </c>
      <c r="J269" s="35">
        <v>0</v>
      </c>
      <c r="K269" s="101">
        <v>98</v>
      </c>
      <c r="L269" s="132"/>
      <c r="M269" s="105"/>
      <c r="N269" s="33">
        <f t="shared" si="132"/>
        <v>96.1333333333333</v>
      </c>
      <c r="O269" s="133">
        <v>99.778</v>
      </c>
      <c r="P269" s="20"/>
      <c r="Q269" s="20"/>
      <c r="R269" s="20"/>
      <c r="S269" s="20"/>
      <c r="T269" s="20"/>
      <c r="U269" s="20"/>
      <c r="W269" s="2"/>
    </row>
    <row r="270" ht="15" hidden="1" customHeight="1" spans="2:25">
      <c r="B270" s="127">
        <f t="shared" si="133"/>
        <v>8</v>
      </c>
      <c r="C270" s="128" t="s">
        <v>206</v>
      </c>
      <c r="D270" s="101">
        <f t="shared" si="129"/>
        <v>113.8</v>
      </c>
      <c r="E270" s="129"/>
      <c r="F270" s="129"/>
      <c r="G270" s="130"/>
      <c r="H270" s="102">
        <f t="shared" si="131"/>
        <v>113.8</v>
      </c>
      <c r="I270" s="131" t="s">
        <v>27</v>
      </c>
      <c r="J270" s="35">
        <v>8822</v>
      </c>
      <c r="K270" s="101">
        <v>129</v>
      </c>
      <c r="L270" s="132"/>
      <c r="M270" s="105"/>
      <c r="N270" s="33">
        <f t="shared" si="132"/>
        <v>126.542857142857</v>
      </c>
      <c r="O270" s="133">
        <v>95.083</v>
      </c>
      <c r="P270" s="20"/>
      <c r="Q270" s="20"/>
      <c r="R270" s="20"/>
      <c r="S270" s="20"/>
      <c r="T270" s="20"/>
      <c r="U270" s="20"/>
      <c r="W270" s="2"/>
    </row>
    <row r="271" ht="15" hidden="1" customHeight="1" spans="2:25">
      <c r="B271" s="127">
        <f t="shared" si="133"/>
        <v>9</v>
      </c>
      <c r="C271" s="128" t="s">
        <v>207</v>
      </c>
      <c r="D271" s="101">
        <f t="shared" si="129"/>
        <v>0</v>
      </c>
      <c r="E271" s="129"/>
      <c r="F271" s="129"/>
      <c r="G271" s="130"/>
      <c r="H271" s="102">
        <f t="shared" si="131"/>
        <v>0</v>
      </c>
      <c r="I271" s="131" t="s">
        <v>27</v>
      </c>
      <c r="J271" s="35">
        <f t="shared" ref="J271:J276" si="134">SUM(P271:T271)</f>
        <v>0</v>
      </c>
      <c r="K271" s="101">
        <v>132</v>
      </c>
      <c r="L271" s="132"/>
      <c r="M271" s="105"/>
      <c r="N271" s="33">
        <f t="shared" si="132"/>
        <v>129.485714285714</v>
      </c>
      <c r="O271" s="133">
        <v>37.543</v>
      </c>
      <c r="P271" s="20"/>
      <c r="Q271" s="20"/>
      <c r="R271" s="20"/>
      <c r="S271" s="20"/>
      <c r="T271" s="20"/>
      <c r="U271" s="20"/>
      <c r="W271" s="2"/>
    </row>
    <row r="272" ht="15" hidden="1" customHeight="1" spans="2:25">
      <c r="B272" s="127">
        <f t="shared" si="133"/>
        <v>10</v>
      </c>
      <c r="C272" s="128" t="s">
        <v>208</v>
      </c>
      <c r="D272" s="101">
        <f t="shared" si="129"/>
        <v>19.41</v>
      </c>
      <c r="E272" s="129"/>
      <c r="F272" s="129"/>
      <c r="G272" s="130"/>
      <c r="H272" s="102">
        <f t="shared" si="131"/>
        <v>19.41</v>
      </c>
      <c r="I272" s="131" t="s">
        <v>27</v>
      </c>
      <c r="J272" s="35">
        <v>8822</v>
      </c>
      <c r="K272" s="101">
        <v>22</v>
      </c>
      <c r="L272" s="132"/>
      <c r="M272" s="105"/>
      <c r="N272" s="33">
        <f t="shared" si="132"/>
        <v>21.5809523809524</v>
      </c>
      <c r="O272" s="133">
        <v>136.246</v>
      </c>
      <c r="P272" s="20"/>
      <c r="Q272" s="20"/>
      <c r="R272" s="20"/>
      <c r="S272" s="20"/>
      <c r="T272" s="20"/>
      <c r="U272" s="20"/>
      <c r="W272" s="2"/>
    </row>
    <row r="273" ht="15" hidden="1" customHeight="1" spans="2:25">
      <c r="B273" s="127">
        <f t="shared" si="133"/>
        <v>11</v>
      </c>
      <c r="C273" s="128" t="s">
        <v>209</v>
      </c>
      <c r="D273" s="101">
        <f t="shared" si="129"/>
        <v>92.63</v>
      </c>
      <c r="E273" s="129"/>
      <c r="F273" s="129"/>
      <c r="G273" s="130"/>
      <c r="H273" s="102">
        <f t="shared" si="131"/>
        <v>92.63</v>
      </c>
      <c r="I273" s="131" t="s">
        <v>27</v>
      </c>
      <c r="J273" s="35">
        <v>8822</v>
      </c>
      <c r="K273" s="101">
        <v>105</v>
      </c>
      <c r="L273" s="132"/>
      <c r="M273" s="105"/>
      <c r="N273" s="33">
        <f t="shared" si="132"/>
        <v>103</v>
      </c>
      <c r="O273" s="133">
        <v>99.778</v>
      </c>
      <c r="P273" s="20"/>
      <c r="Q273" s="20"/>
      <c r="R273" s="20"/>
      <c r="S273" s="20"/>
      <c r="T273" s="20"/>
      <c r="U273" s="20"/>
      <c r="W273" s="2"/>
    </row>
    <row r="274" ht="15" hidden="1" customHeight="1" spans="2:25">
      <c r="B274" s="127">
        <f t="shared" si="133"/>
        <v>12</v>
      </c>
      <c r="C274" s="128" t="s">
        <v>210</v>
      </c>
      <c r="D274" s="101">
        <f t="shared" si="129"/>
        <v>0</v>
      </c>
      <c r="E274" s="129"/>
      <c r="F274" s="129"/>
      <c r="G274" s="130"/>
      <c r="H274" s="102">
        <f t="shared" si="131"/>
        <v>0</v>
      </c>
      <c r="I274" s="131" t="s">
        <v>27</v>
      </c>
      <c r="J274" s="35">
        <f t="shared" si="134"/>
        <v>0</v>
      </c>
      <c r="K274" s="101">
        <v>99</v>
      </c>
      <c r="L274" s="132"/>
      <c r="M274" s="105"/>
      <c r="N274" s="33">
        <f t="shared" si="132"/>
        <v>97.1142857142857</v>
      </c>
      <c r="O274" s="133">
        <v>49.107</v>
      </c>
      <c r="P274" s="20"/>
      <c r="Q274" s="20"/>
      <c r="R274" s="20"/>
      <c r="S274" s="20"/>
      <c r="T274" s="20"/>
      <c r="U274" s="20"/>
      <c r="W274" s="2"/>
    </row>
    <row r="275" ht="15" hidden="1" customHeight="1" spans="2:25">
      <c r="B275" s="127">
        <f t="shared" si="133"/>
        <v>13</v>
      </c>
      <c r="C275" s="128" t="s">
        <v>211</v>
      </c>
      <c r="D275" s="101">
        <f t="shared" si="129"/>
        <v>85.11</v>
      </c>
      <c r="E275" s="129"/>
      <c r="F275" s="129"/>
      <c r="G275" s="130"/>
      <c r="H275" s="102">
        <f t="shared" si="131"/>
        <v>85.11</v>
      </c>
      <c r="I275" s="131" t="s">
        <v>27</v>
      </c>
      <c r="J275" s="35">
        <v>9353</v>
      </c>
      <c r="K275" s="101">
        <v>91</v>
      </c>
      <c r="L275" s="132"/>
      <c r="M275" s="105"/>
      <c r="N275" s="33">
        <f t="shared" si="132"/>
        <v>89.2666666666667</v>
      </c>
      <c r="O275" s="133">
        <v>279.035</v>
      </c>
      <c r="P275" s="20"/>
      <c r="Q275" s="20"/>
      <c r="R275" s="20"/>
      <c r="S275" s="20"/>
      <c r="T275" s="20"/>
      <c r="U275" s="20"/>
      <c r="W275" s="2"/>
    </row>
    <row r="276" ht="15" hidden="1" customHeight="1" spans="2:25">
      <c r="B276" s="127">
        <f t="shared" si="133"/>
        <v>14</v>
      </c>
      <c r="C276" s="128" t="s">
        <v>212</v>
      </c>
      <c r="D276" s="101">
        <f t="shared" si="129"/>
        <v>0</v>
      </c>
      <c r="E276" s="129"/>
      <c r="F276" s="129"/>
      <c r="G276" s="130"/>
      <c r="H276" s="102">
        <f t="shared" si="131"/>
        <v>0</v>
      </c>
      <c r="I276" s="131" t="s">
        <v>27</v>
      </c>
      <c r="J276" s="35">
        <f t="shared" si="134"/>
        <v>0</v>
      </c>
      <c r="K276" s="101">
        <v>56</v>
      </c>
      <c r="L276" s="132"/>
      <c r="M276" s="105"/>
      <c r="N276" s="33">
        <f t="shared" si="132"/>
        <v>54.9333333333333</v>
      </c>
      <c r="O276" s="133">
        <v>6770.562</v>
      </c>
      <c r="P276" s="20"/>
      <c r="Q276" s="20"/>
      <c r="R276" s="20"/>
      <c r="S276" s="20"/>
      <c r="T276" s="20"/>
      <c r="U276" s="20"/>
      <c r="W276" s="2"/>
    </row>
    <row r="277" s="87" customFormat="1" ht="15" hidden="1" customHeight="1" spans="2:25">
      <c r="B277" s="127">
        <f t="shared" si="133"/>
        <v>15</v>
      </c>
      <c r="C277" s="128" t="s">
        <v>213</v>
      </c>
      <c r="D277" s="101">
        <f t="shared" si="129"/>
        <v>42.06</v>
      </c>
      <c r="E277" s="129"/>
      <c r="F277" s="129"/>
      <c r="G277" s="130"/>
      <c r="H277" s="102">
        <f t="shared" si="131"/>
        <v>42.06</v>
      </c>
      <c r="I277" s="131" t="s">
        <v>27</v>
      </c>
      <c r="J277" s="35">
        <v>9781</v>
      </c>
      <c r="K277" s="101">
        <v>43</v>
      </c>
      <c r="L277" s="160"/>
      <c r="M277" s="161"/>
      <c r="N277" s="33">
        <f t="shared" si="132"/>
        <v>42.1809523809524</v>
      </c>
      <c r="O277" s="162">
        <v>7029.07</v>
      </c>
      <c r="P277" s="158"/>
      <c r="Q277" s="158"/>
      <c r="R277" s="158"/>
      <c r="S277" s="158"/>
      <c r="T277" s="158"/>
      <c r="U277" s="158"/>
      <c r="V277" s="159"/>
      <c r="X277" s="159"/>
      <c r="Y277" s="159"/>
    </row>
    <row r="278" s="87" customFormat="1" ht="15" hidden="1" customHeight="1" spans="2:25">
      <c r="B278" s="127">
        <f t="shared" si="133"/>
        <v>16</v>
      </c>
      <c r="C278" s="134" t="s">
        <v>214</v>
      </c>
      <c r="D278" s="101">
        <f t="shared" si="129"/>
        <v>177.05</v>
      </c>
      <c r="E278" s="129"/>
      <c r="F278" s="129"/>
      <c r="G278" s="130"/>
      <c r="H278" s="102">
        <f t="shared" si="131"/>
        <v>177.05</v>
      </c>
      <c r="I278" s="131" t="s">
        <v>27</v>
      </c>
      <c r="J278" s="35">
        <v>6169</v>
      </c>
      <c r="K278" s="101">
        <v>287</v>
      </c>
      <c r="L278" s="163"/>
      <c r="M278" s="161"/>
      <c r="N278" s="33">
        <f t="shared" si="132"/>
        <v>281.533333333333</v>
      </c>
      <c r="O278" s="162">
        <v>1</v>
      </c>
      <c r="P278" s="158"/>
      <c r="Q278" s="158"/>
      <c r="R278" s="158"/>
      <c r="S278" s="158"/>
      <c r="T278" s="158"/>
      <c r="U278" s="158"/>
      <c r="V278" s="159"/>
      <c r="X278" s="159"/>
      <c r="Y278" s="159"/>
    </row>
    <row r="279" ht="15" customHeight="1" spans="2:25">
      <c r="B279" s="127">
        <f t="shared" si="133"/>
        <v>17</v>
      </c>
      <c r="C279" s="128" t="s">
        <v>215</v>
      </c>
      <c r="D279" s="101">
        <f t="shared" si="129"/>
        <v>42.79</v>
      </c>
      <c r="E279" s="129"/>
      <c r="F279" s="129"/>
      <c r="G279" s="130"/>
      <c r="H279" s="102">
        <f t="shared" si="131"/>
        <v>42.79</v>
      </c>
      <c r="I279" s="131" t="s">
        <v>34</v>
      </c>
      <c r="J279" s="35">
        <v>1579</v>
      </c>
      <c r="K279" s="101">
        <v>271</v>
      </c>
      <c r="L279" s="132"/>
      <c r="M279" s="105"/>
      <c r="N279" s="33">
        <f t="shared" si="132"/>
        <v>265.838095238095</v>
      </c>
      <c r="O279" s="133">
        <v>161.403</v>
      </c>
      <c r="P279" s="20"/>
      <c r="Q279" s="20"/>
      <c r="R279" s="20"/>
      <c r="S279" s="20"/>
      <c r="T279" s="20"/>
      <c r="U279" s="20"/>
      <c r="W279" s="2"/>
    </row>
    <row r="280" ht="15" customHeight="1" spans="2:25">
      <c r="B280" s="127">
        <f t="shared" si="133"/>
        <v>18</v>
      </c>
      <c r="C280" s="128" t="s">
        <v>216</v>
      </c>
      <c r="D280" s="101">
        <f t="shared" si="129"/>
        <v>12.07</v>
      </c>
      <c r="E280" s="129"/>
      <c r="F280" s="129"/>
      <c r="G280" s="130"/>
      <c r="H280" s="102">
        <f t="shared" si="131"/>
        <v>12.07</v>
      </c>
      <c r="I280" s="131" t="s">
        <v>34</v>
      </c>
      <c r="J280" s="35">
        <v>1654</v>
      </c>
      <c r="K280" s="101">
        <v>73</v>
      </c>
      <c r="L280" s="132"/>
      <c r="M280" s="105"/>
      <c r="N280" s="33">
        <f t="shared" si="132"/>
        <v>71.6095238095238</v>
      </c>
      <c r="O280" s="133">
        <v>74.491</v>
      </c>
      <c r="P280" s="20"/>
      <c r="Q280" s="20"/>
      <c r="R280" s="20"/>
      <c r="S280" s="20"/>
      <c r="T280" s="20"/>
      <c r="U280" s="20"/>
      <c r="W280" s="2"/>
    </row>
    <row r="281" ht="15" hidden="1" customHeight="1" spans="2:25">
      <c r="B281" s="127">
        <f t="shared" si="133"/>
        <v>19</v>
      </c>
      <c r="C281" s="134" t="s">
        <v>217</v>
      </c>
      <c r="D281" s="101">
        <f t="shared" si="129"/>
        <v>6.35</v>
      </c>
      <c r="E281" s="129"/>
      <c r="F281" s="129"/>
      <c r="G281" s="130"/>
      <c r="H281" s="102">
        <f t="shared" si="131"/>
        <v>6.35</v>
      </c>
      <c r="I281" s="131" t="s">
        <v>119</v>
      </c>
      <c r="J281" s="35">
        <v>35</v>
      </c>
      <c r="K281" s="101">
        <v>1815</v>
      </c>
      <c r="L281" s="132"/>
      <c r="M281" s="105"/>
      <c r="N281" s="33">
        <f t="shared" si="132"/>
        <v>1780.42857142857</v>
      </c>
      <c r="O281" s="133">
        <v>280.33</v>
      </c>
      <c r="P281" s="20"/>
      <c r="Q281" s="20"/>
      <c r="R281" s="20"/>
      <c r="S281" s="20"/>
      <c r="T281" s="20"/>
      <c r="U281" s="20"/>
      <c r="W281" s="2"/>
    </row>
    <row r="282" ht="15" hidden="1" customHeight="1" spans="2:25">
      <c r="B282" s="127">
        <f t="shared" si="133"/>
        <v>20</v>
      </c>
      <c r="C282" s="134" t="s">
        <v>218</v>
      </c>
      <c r="D282" s="101">
        <f t="shared" si="129"/>
        <v>12.8</v>
      </c>
      <c r="E282" s="129"/>
      <c r="F282" s="129"/>
      <c r="G282" s="130"/>
      <c r="H282" s="102">
        <f t="shared" si="131"/>
        <v>12.8</v>
      </c>
      <c r="I282" s="131" t="s">
        <v>119</v>
      </c>
      <c r="J282" s="35">
        <v>46</v>
      </c>
      <c r="K282" s="101">
        <v>2783</v>
      </c>
      <c r="L282" s="132"/>
      <c r="M282" s="105"/>
      <c r="N282" s="33">
        <f t="shared" si="132"/>
        <v>2729.99047619048</v>
      </c>
      <c r="O282" s="133">
        <v>1838</v>
      </c>
      <c r="P282" s="20"/>
      <c r="Q282" s="20"/>
      <c r="R282" s="20"/>
      <c r="S282" s="20"/>
      <c r="T282" s="20"/>
      <c r="U282" s="20"/>
      <c r="W282" s="2"/>
    </row>
    <row r="283" ht="15" hidden="1" customHeight="1" spans="2:25">
      <c r="B283" s="127">
        <f t="shared" si="133"/>
        <v>21</v>
      </c>
      <c r="C283" s="134" t="s">
        <v>219</v>
      </c>
      <c r="D283" s="101">
        <f t="shared" si="129"/>
        <v>21.55</v>
      </c>
      <c r="E283" s="129"/>
      <c r="F283" s="129"/>
      <c r="G283" s="130"/>
      <c r="H283" s="102">
        <f t="shared" si="131"/>
        <v>21.55</v>
      </c>
      <c r="I283" s="131" t="s">
        <v>119</v>
      </c>
      <c r="J283" s="35">
        <v>86</v>
      </c>
      <c r="K283" s="101">
        <v>2506</v>
      </c>
      <c r="L283" s="132"/>
      <c r="M283" s="105"/>
      <c r="N283" s="33">
        <f t="shared" si="132"/>
        <v>2458.26666666667</v>
      </c>
      <c r="O283" s="133">
        <v>2823.25</v>
      </c>
      <c r="P283" s="20"/>
      <c r="Q283" s="20"/>
      <c r="R283" s="20"/>
      <c r="S283" s="20"/>
      <c r="T283" s="20"/>
      <c r="U283" s="20"/>
      <c r="W283" s="2"/>
    </row>
    <row r="284" s="83" customFormat="1" ht="15" hidden="1" customHeight="1" spans="2:25">
      <c r="B284" s="135" t="s">
        <v>45</v>
      </c>
      <c r="C284" s="136" t="s">
        <v>68</v>
      </c>
      <c r="D284" s="137">
        <f t="shared" ref="D284:H284" si="135">SUM(D285:D290)</f>
        <v>2374.72</v>
      </c>
      <c r="E284" s="137">
        <f t="shared" si="135"/>
        <v>0</v>
      </c>
      <c r="F284" s="137">
        <f t="shared" si="135"/>
        <v>0</v>
      </c>
      <c r="G284" s="137">
        <f t="shared" si="135"/>
        <v>0</v>
      </c>
      <c r="H284" s="137">
        <f t="shared" si="135"/>
        <v>2374.72</v>
      </c>
      <c r="I284" s="138" t="s">
        <v>17</v>
      </c>
      <c r="J284" s="137">
        <f>S2</f>
        <v>0.715</v>
      </c>
      <c r="K284" s="139">
        <f>H284/J284*10000</f>
        <v>33212867.1328671</v>
      </c>
      <c r="L284" s="140"/>
      <c r="M284" s="141"/>
      <c r="N284" s="142"/>
      <c r="O284" s="142"/>
      <c r="P284" s="119"/>
      <c r="Q284" s="119"/>
      <c r="R284" s="119"/>
      <c r="S284" s="119"/>
      <c r="T284" s="119"/>
      <c r="U284" s="119"/>
      <c r="V284" s="143"/>
      <c r="X284" s="120"/>
      <c r="Y284" s="120"/>
    </row>
    <row r="285" s="83" customFormat="1" ht="15" customHeight="1" spans="2:25">
      <c r="B285" s="121">
        <v>1</v>
      </c>
      <c r="C285" s="144" t="s">
        <v>292</v>
      </c>
      <c r="D285" s="110">
        <f t="shared" ref="D285:D290" si="136">ROUND(J285*K285/10000,2)</f>
        <v>0</v>
      </c>
      <c r="E285" s="123"/>
      <c r="F285" s="123"/>
      <c r="G285" s="124"/>
      <c r="H285" s="113">
        <f t="shared" ref="H285:H290" si="137">SUM(D285:G285)</f>
        <v>0</v>
      </c>
      <c r="I285" s="125" t="s">
        <v>34</v>
      </c>
      <c r="J285" s="114">
        <v>0</v>
      </c>
      <c r="K285" s="110">
        <v>4290</v>
      </c>
      <c r="L285" s="126"/>
      <c r="M285" s="116"/>
      <c r="N285" s="117">
        <f t="shared" ref="N285:N297" si="138">K285/1.05*1.03</f>
        <v>4208.28571428571</v>
      </c>
      <c r="O285" s="118">
        <v>3257.528</v>
      </c>
      <c r="P285" s="119"/>
      <c r="Q285" s="119"/>
      <c r="R285" s="119"/>
      <c r="S285" s="119"/>
      <c r="T285" s="119"/>
      <c r="U285" s="119"/>
      <c r="V285" s="120"/>
      <c r="X285" s="120"/>
      <c r="Y285" s="120"/>
    </row>
    <row r="286" s="83" customFormat="1" ht="15" hidden="1" customHeight="1" spans="2:25">
      <c r="B286" s="121">
        <v>2</v>
      </c>
      <c r="C286" s="144" t="s">
        <v>293</v>
      </c>
      <c r="D286" s="110">
        <f t="shared" si="136"/>
        <v>0</v>
      </c>
      <c r="E286" s="123"/>
      <c r="F286" s="123"/>
      <c r="G286" s="124"/>
      <c r="H286" s="113">
        <f t="shared" si="137"/>
        <v>0</v>
      </c>
      <c r="I286" s="125" t="s">
        <v>276</v>
      </c>
      <c r="J286" s="114">
        <v>0</v>
      </c>
      <c r="K286" s="110">
        <v>6097</v>
      </c>
      <c r="L286" s="126"/>
      <c r="M286" s="116"/>
      <c r="N286" s="117">
        <f t="shared" si="138"/>
        <v>5980.86666666667</v>
      </c>
      <c r="O286" s="118">
        <v>0</v>
      </c>
      <c r="P286" s="119"/>
      <c r="Q286" s="119"/>
      <c r="R286" s="119"/>
      <c r="S286" s="119"/>
      <c r="T286" s="119"/>
      <c r="U286" s="119"/>
      <c r="V286" s="120"/>
      <c r="X286" s="120"/>
      <c r="Y286" s="120"/>
    </row>
    <row r="287" s="83" customFormat="1" ht="15" hidden="1" customHeight="1" spans="2:25">
      <c r="B287" s="121">
        <v>3</v>
      </c>
      <c r="C287" s="144" t="s">
        <v>294</v>
      </c>
      <c r="D287" s="110">
        <f t="shared" si="136"/>
        <v>0</v>
      </c>
      <c r="E287" s="123"/>
      <c r="F287" s="123"/>
      <c r="G287" s="124"/>
      <c r="H287" s="113">
        <f t="shared" si="137"/>
        <v>0</v>
      </c>
      <c r="I287" s="125" t="s">
        <v>276</v>
      </c>
      <c r="J287" s="114">
        <v>0</v>
      </c>
      <c r="K287" s="110">
        <v>10040</v>
      </c>
      <c r="L287" s="126"/>
      <c r="M287" s="116"/>
      <c r="N287" s="117">
        <f t="shared" si="138"/>
        <v>9848.7619047619</v>
      </c>
      <c r="O287" s="118">
        <v>0</v>
      </c>
      <c r="P287" s="119"/>
      <c r="Q287" s="119"/>
      <c r="R287" s="119"/>
      <c r="S287" s="119"/>
      <c r="T287" s="119"/>
      <c r="U287" s="119"/>
      <c r="V287" s="120"/>
      <c r="X287" s="120"/>
      <c r="Y287" s="120"/>
    </row>
    <row r="288" s="83" customFormat="1" ht="15" customHeight="1" spans="2:25">
      <c r="B288" s="121">
        <v>4</v>
      </c>
      <c r="C288" s="144" t="s">
        <v>295</v>
      </c>
      <c r="D288" s="110">
        <f t="shared" si="136"/>
        <v>0</v>
      </c>
      <c r="E288" s="123"/>
      <c r="F288" s="123"/>
      <c r="G288" s="124"/>
      <c r="H288" s="113">
        <f t="shared" si="137"/>
        <v>0</v>
      </c>
      <c r="I288" s="125" t="s">
        <v>34</v>
      </c>
      <c r="J288" s="114">
        <v>0</v>
      </c>
      <c r="K288" s="110">
        <v>9140</v>
      </c>
      <c r="L288" s="126"/>
      <c r="M288" s="116"/>
      <c r="N288" s="117">
        <f t="shared" si="138"/>
        <v>8965.90476190476</v>
      </c>
      <c r="O288" s="118">
        <v>0</v>
      </c>
      <c r="P288" s="119"/>
      <c r="Q288" s="119"/>
      <c r="R288" s="119"/>
      <c r="S288" s="119"/>
      <c r="T288" s="119"/>
      <c r="U288" s="119"/>
      <c r="V288" s="120"/>
      <c r="X288" s="120"/>
      <c r="Y288" s="120"/>
    </row>
    <row r="289" s="83" customFormat="1" ht="15" customHeight="1" spans="2:25">
      <c r="B289" s="121">
        <v>5</v>
      </c>
      <c r="C289" s="144" t="s">
        <v>296</v>
      </c>
      <c r="D289" s="110">
        <f t="shared" si="136"/>
        <v>1174.72</v>
      </c>
      <c r="E289" s="123"/>
      <c r="F289" s="123"/>
      <c r="G289" s="124"/>
      <c r="H289" s="113">
        <f t="shared" si="137"/>
        <v>1174.72</v>
      </c>
      <c r="I289" s="125" t="s">
        <v>34</v>
      </c>
      <c r="J289" s="114">
        <v>800</v>
      </c>
      <c r="K289" s="110">
        <v>14684</v>
      </c>
      <c r="L289" s="126"/>
      <c r="M289" s="116"/>
      <c r="N289" s="117">
        <f t="shared" si="138"/>
        <v>14404.3047619048</v>
      </c>
      <c r="O289" s="118">
        <v>2677.677</v>
      </c>
      <c r="P289" s="119"/>
      <c r="Q289" s="119"/>
      <c r="R289" s="119"/>
      <c r="S289" s="119"/>
      <c r="T289" s="119"/>
      <c r="U289" s="119"/>
      <c r="V289" s="120"/>
      <c r="X289" s="120"/>
      <c r="Y289" s="120"/>
    </row>
    <row r="290" s="83" customFormat="1" ht="15" hidden="1" customHeight="1" spans="2:25">
      <c r="B290" s="121">
        <v>6</v>
      </c>
      <c r="C290" s="144" t="s">
        <v>297</v>
      </c>
      <c r="D290" s="110">
        <f t="shared" si="136"/>
        <v>1200</v>
      </c>
      <c r="E290" s="123"/>
      <c r="F290" s="123"/>
      <c r="G290" s="124"/>
      <c r="H290" s="113">
        <f t="shared" si="137"/>
        <v>1200</v>
      </c>
      <c r="I290" s="125" t="s">
        <v>119</v>
      </c>
      <c r="J290" s="114">
        <v>1</v>
      </c>
      <c r="K290" s="164">
        <v>12000000</v>
      </c>
      <c r="L290" s="126"/>
      <c r="M290" s="116"/>
      <c r="N290" s="117">
        <f t="shared" si="138"/>
        <v>11771428.5714286</v>
      </c>
      <c r="O290" s="118">
        <v>2842.898</v>
      </c>
      <c r="P290" s="119"/>
      <c r="Q290" s="119"/>
      <c r="R290" s="119"/>
      <c r="S290" s="119"/>
      <c r="T290" s="119"/>
      <c r="U290" s="119"/>
      <c r="V290" s="120"/>
      <c r="X290" s="120"/>
      <c r="Y290" s="120"/>
    </row>
    <row r="291" s="83" customFormat="1" ht="15" hidden="1" customHeight="1" spans="2:25">
      <c r="B291" s="135" t="s">
        <v>59</v>
      </c>
      <c r="C291" s="136" t="s">
        <v>73</v>
      </c>
      <c r="D291" s="137">
        <f t="shared" ref="D291:H291" si="139">SUM(D292:D297)</f>
        <v>331.35</v>
      </c>
      <c r="E291" s="137">
        <f t="shared" si="139"/>
        <v>0</v>
      </c>
      <c r="F291" s="137">
        <f t="shared" si="139"/>
        <v>0</v>
      </c>
      <c r="G291" s="137">
        <f t="shared" si="139"/>
        <v>0</v>
      </c>
      <c r="H291" s="137">
        <f t="shared" si="139"/>
        <v>331.35</v>
      </c>
      <c r="I291" s="138" t="s">
        <v>17</v>
      </c>
      <c r="J291" s="137">
        <f>J284</f>
        <v>0.715</v>
      </c>
      <c r="K291" s="139">
        <f>H291/J291*10000</f>
        <v>4634265.73426574</v>
      </c>
      <c r="L291" s="140"/>
      <c r="M291" s="116"/>
      <c r="N291" s="117">
        <f t="shared" si="138"/>
        <v>4545994.00599401</v>
      </c>
      <c r="O291" s="118">
        <v>375.908</v>
      </c>
      <c r="P291" s="119"/>
      <c r="Q291" s="119"/>
      <c r="R291" s="119"/>
      <c r="S291" s="119"/>
      <c r="T291" s="119"/>
      <c r="U291" s="119"/>
      <c r="V291" s="120"/>
      <c r="X291" s="120"/>
      <c r="Y291" s="120"/>
    </row>
    <row r="292" s="83" customFormat="1" ht="15" customHeight="1" spans="2:25">
      <c r="B292" s="121">
        <v>1</v>
      </c>
      <c r="C292" s="144" t="s">
        <v>273</v>
      </c>
      <c r="D292" s="110">
        <f t="shared" ref="D292:D297" si="140">ROUND(J292*K292/10000,2)</f>
        <v>214.5</v>
      </c>
      <c r="E292" s="123"/>
      <c r="F292" s="123"/>
      <c r="G292" s="124"/>
      <c r="H292" s="113">
        <f t="shared" ref="H292:H297" si="141">SUM(D292:G292)</f>
        <v>214.5</v>
      </c>
      <c r="I292" s="125" t="s">
        <v>34</v>
      </c>
      <c r="J292" s="114">
        <v>500</v>
      </c>
      <c r="K292" s="110">
        <v>4290</v>
      </c>
      <c r="L292" s="126"/>
      <c r="M292" s="116"/>
      <c r="N292" s="117">
        <f t="shared" si="138"/>
        <v>4208.28571428571</v>
      </c>
      <c r="O292" s="118">
        <v>1832.071</v>
      </c>
      <c r="P292" s="119"/>
      <c r="Q292" s="119"/>
      <c r="R292" s="119"/>
      <c r="S292" s="119"/>
      <c r="T292" s="119"/>
      <c r="U292" s="119"/>
      <c r="V292" s="120"/>
      <c r="X292" s="120"/>
      <c r="Y292" s="120"/>
    </row>
    <row r="293" s="83" customFormat="1" ht="15" customHeight="1" spans="2:25">
      <c r="B293" s="121">
        <v>2</v>
      </c>
      <c r="C293" s="144" t="s">
        <v>298</v>
      </c>
      <c r="D293" s="110">
        <f t="shared" si="140"/>
        <v>97.3</v>
      </c>
      <c r="E293" s="123"/>
      <c r="F293" s="123"/>
      <c r="G293" s="124"/>
      <c r="H293" s="113">
        <f t="shared" si="141"/>
        <v>97.3</v>
      </c>
      <c r="I293" s="125" t="s">
        <v>34</v>
      </c>
      <c r="J293" s="114">
        <v>200</v>
      </c>
      <c r="K293" s="110">
        <f>972968/200</f>
        <v>4864.84</v>
      </c>
      <c r="L293" s="126"/>
      <c r="M293" s="116"/>
      <c r="N293" s="117">
        <f t="shared" si="138"/>
        <v>4772.17638095238</v>
      </c>
      <c r="O293" s="118">
        <v>1832.071</v>
      </c>
      <c r="P293" s="119"/>
      <c r="Q293" s="119"/>
      <c r="R293" s="119"/>
      <c r="S293" s="119"/>
      <c r="T293" s="119"/>
      <c r="U293" s="119"/>
      <c r="V293" s="120"/>
      <c r="X293" s="120"/>
      <c r="Y293" s="120"/>
    </row>
    <row r="294" s="83" customFormat="1" ht="15" customHeight="1" spans="2:25">
      <c r="B294" s="121">
        <v>3</v>
      </c>
      <c r="C294" s="144" t="s">
        <v>274</v>
      </c>
      <c r="D294" s="110">
        <f t="shared" si="140"/>
        <v>2.55</v>
      </c>
      <c r="E294" s="123"/>
      <c r="F294" s="123"/>
      <c r="G294" s="124"/>
      <c r="H294" s="113">
        <f t="shared" si="141"/>
        <v>2.55</v>
      </c>
      <c r="I294" s="125" t="s">
        <v>34</v>
      </c>
      <c r="J294" s="114">
        <v>500</v>
      </c>
      <c r="K294" s="110">
        <v>51</v>
      </c>
      <c r="L294" s="126"/>
      <c r="M294" s="116"/>
      <c r="N294" s="117">
        <f t="shared" si="138"/>
        <v>50.0285714285714</v>
      </c>
      <c r="O294" s="118">
        <v>0</v>
      </c>
      <c r="P294" s="119"/>
      <c r="Q294" s="119"/>
      <c r="R294" s="119"/>
      <c r="S294" s="119"/>
      <c r="T294" s="119"/>
      <c r="U294" s="119"/>
      <c r="V294" s="120"/>
      <c r="X294" s="120"/>
      <c r="Y294" s="120"/>
    </row>
    <row r="295" s="83" customFormat="1" ht="15" hidden="1" customHeight="1" spans="2:25">
      <c r="B295" s="121">
        <v>4</v>
      </c>
      <c r="C295" s="144" t="s">
        <v>232</v>
      </c>
      <c r="D295" s="110">
        <f t="shared" si="140"/>
        <v>17</v>
      </c>
      <c r="E295" s="123"/>
      <c r="F295" s="123"/>
      <c r="G295" s="124"/>
      <c r="H295" s="113">
        <f t="shared" si="141"/>
        <v>17</v>
      </c>
      <c r="I295" s="125" t="s">
        <v>119</v>
      </c>
      <c r="J295" s="114">
        <v>20</v>
      </c>
      <c r="K295" s="110">
        <v>8500</v>
      </c>
      <c r="L295" s="126"/>
      <c r="M295" s="116"/>
      <c r="N295" s="117">
        <f t="shared" si="138"/>
        <v>8338.09523809524</v>
      </c>
      <c r="O295" s="118">
        <v>0</v>
      </c>
      <c r="P295" s="119"/>
      <c r="Q295" s="119"/>
      <c r="R295" s="119"/>
      <c r="S295" s="119"/>
      <c r="T295" s="119"/>
      <c r="U295" s="119"/>
      <c r="V295" s="120"/>
      <c r="X295" s="120"/>
      <c r="Y295" s="120"/>
    </row>
    <row r="296" s="83" customFormat="1" ht="15" customHeight="1" spans="2:25">
      <c r="B296" s="121">
        <v>5</v>
      </c>
      <c r="C296" s="144" t="s">
        <v>229</v>
      </c>
      <c r="D296" s="110">
        <f t="shared" si="140"/>
        <v>0</v>
      </c>
      <c r="E296" s="123"/>
      <c r="F296" s="123"/>
      <c r="G296" s="124"/>
      <c r="H296" s="113">
        <f t="shared" si="141"/>
        <v>0</v>
      </c>
      <c r="I296" s="125" t="s">
        <v>34</v>
      </c>
      <c r="J296" s="114">
        <v>0</v>
      </c>
      <c r="K296" s="110">
        <v>2738</v>
      </c>
      <c r="L296" s="126"/>
      <c r="M296" s="116"/>
      <c r="N296" s="117">
        <f t="shared" si="138"/>
        <v>2685.84761904762</v>
      </c>
      <c r="O296" s="118">
        <v>1518.193</v>
      </c>
      <c r="P296" s="119"/>
      <c r="Q296" s="119"/>
      <c r="R296" s="119"/>
      <c r="S296" s="119"/>
      <c r="T296" s="119"/>
      <c r="U296" s="119"/>
      <c r="V296" s="120"/>
      <c r="X296" s="120"/>
      <c r="Y296" s="120"/>
    </row>
    <row r="297" s="83" customFormat="1" ht="15" hidden="1" customHeight="1" spans="2:25">
      <c r="B297" s="121">
        <v>6</v>
      </c>
      <c r="C297" s="144" t="s">
        <v>299</v>
      </c>
      <c r="D297" s="110">
        <f t="shared" si="140"/>
        <v>0</v>
      </c>
      <c r="E297" s="123"/>
      <c r="F297" s="123"/>
      <c r="G297" s="124"/>
      <c r="H297" s="113">
        <f t="shared" si="141"/>
        <v>0</v>
      </c>
      <c r="I297" s="125" t="s">
        <v>276</v>
      </c>
      <c r="J297" s="114">
        <v>0</v>
      </c>
      <c r="K297" s="110">
        <v>5286</v>
      </c>
      <c r="L297" s="126"/>
      <c r="M297" s="116"/>
      <c r="N297" s="117">
        <f t="shared" si="138"/>
        <v>5185.31428571429</v>
      </c>
      <c r="O297" s="118">
        <v>1046.23</v>
      </c>
      <c r="P297" s="119"/>
      <c r="Q297" s="119"/>
      <c r="R297" s="119"/>
      <c r="S297" s="119"/>
      <c r="T297" s="119"/>
      <c r="U297" s="119"/>
      <c r="V297" s="120"/>
      <c r="X297" s="120"/>
      <c r="Y297" s="120"/>
    </row>
    <row r="298" s="86" customFormat="1" ht="15" hidden="1" customHeight="1" spans="2:25">
      <c r="B298" s="96" t="s">
        <v>63</v>
      </c>
      <c r="C298" s="26" t="s">
        <v>85</v>
      </c>
      <c r="D298" s="27">
        <f t="shared" ref="D298:H298" si="142">SUM(D299:D304)</f>
        <v>232.34</v>
      </c>
      <c r="E298" s="27">
        <f t="shared" si="142"/>
        <v>0</v>
      </c>
      <c r="F298" s="27">
        <f t="shared" si="142"/>
        <v>0</v>
      </c>
      <c r="G298" s="27">
        <f t="shared" si="142"/>
        <v>0</v>
      </c>
      <c r="H298" s="27">
        <f t="shared" si="142"/>
        <v>232.34</v>
      </c>
      <c r="I298" s="28" t="s">
        <v>17</v>
      </c>
      <c r="J298" s="27">
        <f>J291</f>
        <v>0.715</v>
      </c>
      <c r="K298" s="29">
        <f>H298/J298*10000</f>
        <v>3249510.48951049</v>
      </c>
      <c r="L298" s="107"/>
      <c r="M298" s="97"/>
      <c r="N298" s="32"/>
      <c r="O298" s="32"/>
      <c r="P298" s="20"/>
      <c r="Q298" s="20"/>
      <c r="R298" s="20"/>
      <c r="S298" s="20"/>
      <c r="T298" s="20"/>
      <c r="U298" s="20"/>
      <c r="V298" s="6"/>
      <c r="W298" s="2"/>
      <c r="X298" s="146"/>
      <c r="Y298" s="146"/>
    </row>
    <row r="299" ht="15" customHeight="1" spans="2:25">
      <c r="B299" s="127">
        <v>1</v>
      </c>
      <c r="C299" s="134" t="s">
        <v>238</v>
      </c>
      <c r="D299" s="101">
        <f t="shared" ref="D299:D304" si="143">ROUND(J299*K299/10000,2)</f>
        <v>125.13</v>
      </c>
      <c r="E299" s="129"/>
      <c r="F299" s="129"/>
      <c r="G299" s="130"/>
      <c r="H299" s="102">
        <f t="shared" ref="H299:H304" si="144">SUM(D299:G299)</f>
        <v>125.13</v>
      </c>
      <c r="I299" s="131" t="s">
        <v>34</v>
      </c>
      <c r="J299" s="35">
        <v>740</v>
      </c>
      <c r="K299" s="101">
        <v>1691</v>
      </c>
      <c r="L299" s="132"/>
      <c r="M299" s="105"/>
      <c r="N299" s="33">
        <f t="shared" ref="N299:N304" si="145">K299/1.05*1.03</f>
        <v>1658.79047619048</v>
      </c>
      <c r="O299" s="133">
        <v>2823.25</v>
      </c>
      <c r="P299" s="20"/>
      <c r="Q299" s="20"/>
      <c r="R299" s="20"/>
      <c r="S299" s="20"/>
      <c r="T299" s="20"/>
      <c r="U299" s="20"/>
      <c r="W299" s="2"/>
    </row>
    <row r="300" ht="15" customHeight="1" spans="2:25">
      <c r="B300" s="127">
        <f t="shared" ref="B300:B304" si="146">B299+1</f>
        <v>2</v>
      </c>
      <c r="C300" s="134" t="s">
        <v>239</v>
      </c>
      <c r="D300" s="101">
        <f t="shared" si="143"/>
        <v>27.64</v>
      </c>
      <c r="E300" s="129"/>
      <c r="F300" s="129"/>
      <c r="G300" s="130"/>
      <c r="H300" s="102">
        <f t="shared" si="144"/>
        <v>27.64</v>
      </c>
      <c r="I300" s="131" t="s">
        <v>34</v>
      </c>
      <c r="J300" s="35">
        <v>125</v>
      </c>
      <c r="K300" s="101">
        <v>2211</v>
      </c>
      <c r="L300" s="132"/>
      <c r="M300" s="105"/>
      <c r="N300" s="33">
        <f t="shared" si="145"/>
        <v>2168.88571428571</v>
      </c>
      <c r="O300" s="133">
        <v>2823.25</v>
      </c>
      <c r="P300" s="20"/>
      <c r="Q300" s="20"/>
      <c r="R300" s="20"/>
      <c r="S300" s="20"/>
      <c r="T300" s="20"/>
      <c r="U300" s="20"/>
      <c r="W300" s="2"/>
    </row>
    <row r="301" ht="15" hidden="1" customHeight="1" spans="2:25">
      <c r="B301" s="127">
        <f t="shared" si="146"/>
        <v>3</v>
      </c>
      <c r="C301" s="134" t="s">
        <v>240</v>
      </c>
      <c r="D301" s="101">
        <f t="shared" si="143"/>
        <v>60.53</v>
      </c>
      <c r="E301" s="129"/>
      <c r="F301" s="129"/>
      <c r="G301" s="130"/>
      <c r="H301" s="102">
        <f t="shared" si="144"/>
        <v>60.53</v>
      </c>
      <c r="I301" s="131" t="s">
        <v>119</v>
      </c>
      <c r="J301" s="35">
        <v>25</v>
      </c>
      <c r="K301" s="101">
        <v>24211</v>
      </c>
      <c r="L301" s="132"/>
      <c r="M301" s="105"/>
      <c r="N301" s="33">
        <f t="shared" si="145"/>
        <v>23749.8380952381</v>
      </c>
      <c r="O301" s="133">
        <v>2823.25</v>
      </c>
      <c r="P301" s="20"/>
      <c r="Q301" s="20"/>
      <c r="R301" s="20"/>
      <c r="S301" s="20"/>
      <c r="T301" s="20"/>
      <c r="U301" s="20"/>
      <c r="W301" s="2"/>
    </row>
    <row r="302" ht="15" hidden="1" customHeight="1" spans="2:25">
      <c r="B302" s="127">
        <f t="shared" si="146"/>
        <v>4</v>
      </c>
      <c r="C302" s="134" t="s">
        <v>241</v>
      </c>
      <c r="D302" s="101">
        <f t="shared" si="143"/>
        <v>12.11</v>
      </c>
      <c r="E302" s="129"/>
      <c r="F302" s="129"/>
      <c r="G302" s="130"/>
      <c r="H302" s="102">
        <f t="shared" si="144"/>
        <v>12.11</v>
      </c>
      <c r="I302" s="131" t="s">
        <v>119</v>
      </c>
      <c r="J302" s="35">
        <v>5</v>
      </c>
      <c r="K302" s="101">
        <v>24211</v>
      </c>
      <c r="L302" s="132"/>
      <c r="M302" s="105"/>
      <c r="N302" s="33">
        <f t="shared" si="145"/>
        <v>23749.8380952381</v>
      </c>
      <c r="O302" s="133">
        <v>2823.25</v>
      </c>
      <c r="P302" s="20"/>
      <c r="Q302" s="20"/>
      <c r="R302" s="20"/>
      <c r="S302" s="20"/>
      <c r="T302" s="20"/>
      <c r="U302" s="20"/>
      <c r="W302" s="2"/>
    </row>
    <row r="303" ht="15" customHeight="1" spans="2:25">
      <c r="B303" s="127">
        <f t="shared" si="146"/>
        <v>5</v>
      </c>
      <c r="C303" s="134" t="s">
        <v>242</v>
      </c>
      <c r="D303" s="101">
        <f t="shared" si="143"/>
        <v>5.19</v>
      </c>
      <c r="E303" s="129"/>
      <c r="F303" s="129"/>
      <c r="G303" s="130"/>
      <c r="H303" s="102">
        <f t="shared" si="144"/>
        <v>5.19</v>
      </c>
      <c r="I303" s="131" t="s">
        <v>34</v>
      </c>
      <c r="J303" s="35">
        <v>1730</v>
      </c>
      <c r="K303" s="101">
        <v>30</v>
      </c>
      <c r="L303" s="132"/>
      <c r="M303" s="105"/>
      <c r="N303" s="33">
        <f t="shared" si="145"/>
        <v>29.4285714285714</v>
      </c>
      <c r="O303" s="133">
        <v>2823.25</v>
      </c>
      <c r="P303" s="20"/>
      <c r="Q303" s="20"/>
      <c r="R303" s="20"/>
      <c r="S303" s="20"/>
      <c r="T303" s="20"/>
      <c r="U303" s="20"/>
      <c r="W303" s="2"/>
    </row>
    <row r="304" ht="15" hidden="1" customHeight="1" spans="2:25">
      <c r="B304" s="127">
        <f t="shared" si="146"/>
        <v>6</v>
      </c>
      <c r="C304" s="134" t="s">
        <v>243</v>
      </c>
      <c r="D304" s="101">
        <f t="shared" si="143"/>
        <v>1.74</v>
      </c>
      <c r="E304" s="129"/>
      <c r="F304" s="129"/>
      <c r="G304" s="130"/>
      <c r="H304" s="102">
        <f t="shared" si="144"/>
        <v>1.74</v>
      </c>
      <c r="I304" s="131" t="s">
        <v>49</v>
      </c>
      <c r="J304" s="35">
        <v>120</v>
      </c>
      <c r="K304" s="101">
        <v>145</v>
      </c>
      <c r="L304" s="132"/>
      <c r="M304" s="105"/>
      <c r="N304" s="33">
        <f t="shared" si="145"/>
        <v>142.238095238095</v>
      </c>
      <c r="O304" s="133">
        <v>2823.25</v>
      </c>
      <c r="P304" s="20"/>
      <c r="Q304" s="20"/>
      <c r="R304" s="20"/>
      <c r="S304" s="20"/>
      <c r="T304" s="20"/>
      <c r="U304" s="20"/>
      <c r="W304" s="2"/>
    </row>
    <row r="305" s="86" customFormat="1" ht="15" hidden="1" customHeight="1" spans="2:25">
      <c r="B305" s="96" t="s">
        <v>67</v>
      </c>
      <c r="C305" s="26" t="s">
        <v>90</v>
      </c>
      <c r="D305" s="27">
        <f t="shared" ref="D305:H305" si="147">SUM(D306:D309)</f>
        <v>129.18</v>
      </c>
      <c r="E305" s="27">
        <f t="shared" si="147"/>
        <v>0</v>
      </c>
      <c r="F305" s="27">
        <f t="shared" si="147"/>
        <v>0</v>
      </c>
      <c r="G305" s="27">
        <f t="shared" si="147"/>
        <v>0</v>
      </c>
      <c r="H305" s="27">
        <f t="shared" si="147"/>
        <v>129.18</v>
      </c>
      <c r="I305" s="28" t="s">
        <v>17</v>
      </c>
      <c r="J305" s="27">
        <f>J298</f>
        <v>0.715</v>
      </c>
      <c r="K305" s="29">
        <f>H305/J305*10000</f>
        <v>1806713.28671329</v>
      </c>
      <c r="L305" s="107"/>
      <c r="M305" s="97"/>
      <c r="N305" s="32"/>
      <c r="O305" s="32"/>
      <c r="P305" s="20"/>
      <c r="Q305" s="20"/>
      <c r="R305" s="20"/>
      <c r="S305" s="20"/>
      <c r="T305" s="20"/>
      <c r="U305" s="20"/>
      <c r="V305" s="6"/>
      <c r="W305" s="2"/>
      <c r="X305" s="146"/>
      <c r="Y305" s="146"/>
    </row>
    <row r="306" ht="15" customHeight="1" spans="2:25">
      <c r="B306" s="127">
        <v>1</v>
      </c>
      <c r="C306" s="134" t="s">
        <v>244</v>
      </c>
      <c r="D306" s="101">
        <f t="shared" ref="D306:D309" si="148">ROUND(J306*K306/10000,2)</f>
        <v>74.59</v>
      </c>
      <c r="E306" s="129"/>
      <c r="F306" s="129"/>
      <c r="G306" s="130"/>
      <c r="H306" s="102">
        <f t="shared" ref="H306:H309" si="149">SUM(D306:G306)</f>
        <v>74.59</v>
      </c>
      <c r="I306" s="131" t="s">
        <v>34</v>
      </c>
      <c r="J306" s="35">
        <v>740</v>
      </c>
      <c r="K306" s="101">
        <v>1008</v>
      </c>
      <c r="L306" s="132"/>
      <c r="M306" s="105"/>
      <c r="N306" s="33">
        <f t="shared" ref="N306:N309" si="150">K306/1.05*1.03</f>
        <v>988.8</v>
      </c>
      <c r="O306" s="133">
        <v>2823.25</v>
      </c>
      <c r="P306" s="20"/>
      <c r="Q306" s="20"/>
      <c r="R306" s="20"/>
      <c r="S306" s="20"/>
      <c r="T306" s="20"/>
      <c r="U306" s="20"/>
      <c r="W306" s="2"/>
    </row>
    <row r="307" ht="15" customHeight="1" spans="2:25">
      <c r="B307" s="127">
        <f t="shared" ref="B307:B309" si="151">B306+1</f>
        <v>2</v>
      </c>
      <c r="C307" s="134" t="s">
        <v>245</v>
      </c>
      <c r="D307" s="101">
        <f t="shared" si="148"/>
        <v>19.14</v>
      </c>
      <c r="E307" s="129"/>
      <c r="F307" s="129"/>
      <c r="G307" s="130"/>
      <c r="H307" s="102">
        <f t="shared" si="149"/>
        <v>19.14</v>
      </c>
      <c r="I307" s="131" t="s">
        <v>34</v>
      </c>
      <c r="J307" s="35">
        <v>125</v>
      </c>
      <c r="K307" s="101">
        <v>1531</v>
      </c>
      <c r="L307" s="132"/>
      <c r="M307" s="105"/>
      <c r="N307" s="33">
        <f t="shared" si="150"/>
        <v>1501.8380952381</v>
      </c>
      <c r="O307" s="133">
        <v>2823.25</v>
      </c>
      <c r="P307" s="20"/>
      <c r="Q307" s="20"/>
      <c r="R307" s="20"/>
      <c r="S307" s="20"/>
      <c r="T307" s="20"/>
      <c r="U307" s="20"/>
      <c r="W307" s="2"/>
    </row>
    <row r="308" ht="15" hidden="1" customHeight="1" spans="2:25">
      <c r="B308" s="127">
        <f t="shared" si="151"/>
        <v>3</v>
      </c>
      <c r="C308" s="134" t="s">
        <v>246</v>
      </c>
      <c r="D308" s="101">
        <f t="shared" si="148"/>
        <v>23.05</v>
      </c>
      <c r="E308" s="129"/>
      <c r="F308" s="129"/>
      <c r="G308" s="130"/>
      <c r="H308" s="102">
        <f t="shared" si="149"/>
        <v>23.05</v>
      </c>
      <c r="I308" s="131" t="s">
        <v>119</v>
      </c>
      <c r="J308" s="35">
        <v>13</v>
      </c>
      <c r="K308" s="101">
        <v>17733</v>
      </c>
      <c r="L308" s="132"/>
      <c r="M308" s="105"/>
      <c r="N308" s="33">
        <f t="shared" si="150"/>
        <v>17395.2285714286</v>
      </c>
      <c r="O308" s="133">
        <v>2823.25</v>
      </c>
      <c r="P308" s="20"/>
      <c r="Q308" s="20"/>
      <c r="R308" s="20"/>
      <c r="S308" s="20"/>
      <c r="T308" s="20"/>
      <c r="U308" s="20"/>
      <c r="W308" s="2"/>
    </row>
    <row r="309" ht="15" hidden="1" customHeight="1" spans="2:25">
      <c r="B309" s="127">
        <f t="shared" si="151"/>
        <v>4</v>
      </c>
      <c r="C309" s="134" t="s">
        <v>247</v>
      </c>
      <c r="D309" s="101">
        <f t="shared" si="148"/>
        <v>12.4</v>
      </c>
      <c r="E309" s="129"/>
      <c r="F309" s="129"/>
      <c r="G309" s="130"/>
      <c r="H309" s="102">
        <f t="shared" si="149"/>
        <v>12.4</v>
      </c>
      <c r="I309" s="131" t="s">
        <v>119</v>
      </c>
      <c r="J309" s="35">
        <v>5</v>
      </c>
      <c r="K309" s="101">
        <v>24793</v>
      </c>
      <c r="L309" s="132"/>
      <c r="M309" s="105"/>
      <c r="N309" s="33">
        <f t="shared" si="150"/>
        <v>24320.7523809524</v>
      </c>
      <c r="O309" s="133">
        <v>2823.25</v>
      </c>
      <c r="P309" s="20"/>
      <c r="Q309" s="20"/>
      <c r="R309" s="20"/>
      <c r="S309" s="20"/>
      <c r="T309" s="20"/>
      <c r="U309" s="20"/>
      <c r="W309" s="2"/>
    </row>
    <row r="310" s="86" customFormat="1" ht="15" hidden="1" customHeight="1" spans="2:25">
      <c r="B310" s="96" t="s">
        <v>72</v>
      </c>
      <c r="C310" s="26" t="s">
        <v>248</v>
      </c>
      <c r="D310" s="27">
        <f t="shared" ref="D310:H310" si="152">SUM(D311:D320)</f>
        <v>104.21</v>
      </c>
      <c r="E310" s="27">
        <f t="shared" si="152"/>
        <v>0</v>
      </c>
      <c r="F310" s="27">
        <f t="shared" si="152"/>
        <v>0</v>
      </c>
      <c r="G310" s="27">
        <f t="shared" si="152"/>
        <v>0</v>
      </c>
      <c r="H310" s="27">
        <f t="shared" si="152"/>
        <v>104.21</v>
      </c>
      <c r="I310" s="28" t="s">
        <v>17</v>
      </c>
      <c r="J310" s="27">
        <f>J284</f>
        <v>0.715</v>
      </c>
      <c r="K310" s="29">
        <f>H310/J310*10000</f>
        <v>1457482.51748252</v>
      </c>
      <c r="L310" s="107"/>
      <c r="M310" s="97"/>
      <c r="N310" s="32"/>
      <c r="O310" s="32"/>
      <c r="P310" s="20"/>
      <c r="Q310" s="20"/>
      <c r="R310" s="20"/>
      <c r="S310" s="20"/>
      <c r="T310" s="20"/>
      <c r="U310" s="20"/>
      <c r="V310" s="6"/>
      <c r="W310" s="2"/>
      <c r="X310" s="146"/>
      <c r="Y310" s="146"/>
    </row>
    <row r="311" ht="15" hidden="1" customHeight="1" spans="2:25">
      <c r="B311" s="127">
        <v>1</v>
      </c>
      <c r="C311" s="134" t="s">
        <v>291</v>
      </c>
      <c r="D311" s="101">
        <f t="shared" ref="D311:D320" si="153">ROUND(J311*K311/10000,2)</f>
        <v>41.84</v>
      </c>
      <c r="E311" s="129"/>
      <c r="F311" s="129"/>
      <c r="G311" s="130"/>
      <c r="H311" s="102">
        <f t="shared" ref="H311:H320" si="154">SUM(D311:G311)</f>
        <v>41.84</v>
      </c>
      <c r="I311" s="131" t="s">
        <v>52</v>
      </c>
      <c r="J311" s="35">
        <v>56</v>
      </c>
      <c r="K311" s="101">
        <v>7471</v>
      </c>
      <c r="L311" s="132"/>
      <c r="M311" s="105"/>
      <c r="N311" s="33">
        <f t="shared" ref="N311:N320" si="155">K311/1.05*1.03</f>
        <v>7328.69523809524</v>
      </c>
      <c r="O311" s="133">
        <v>2823.25</v>
      </c>
      <c r="P311" s="20"/>
      <c r="Q311" s="20"/>
      <c r="R311" s="20"/>
      <c r="S311" s="20"/>
      <c r="T311" s="20"/>
      <c r="U311" s="20"/>
      <c r="W311" s="2"/>
    </row>
    <row r="312" ht="15" hidden="1" customHeight="1" spans="2:25">
      <c r="B312" s="127">
        <f t="shared" ref="B312:B320" si="156">B311+1</f>
        <v>2</v>
      </c>
      <c r="C312" s="134" t="s">
        <v>250</v>
      </c>
      <c r="D312" s="101">
        <f t="shared" si="153"/>
        <v>4.71</v>
      </c>
      <c r="E312" s="129"/>
      <c r="F312" s="129"/>
      <c r="G312" s="130"/>
      <c r="H312" s="102">
        <f t="shared" si="154"/>
        <v>4.71</v>
      </c>
      <c r="I312" s="131" t="s">
        <v>52</v>
      </c>
      <c r="J312" s="35">
        <v>2</v>
      </c>
      <c r="K312" s="101">
        <v>23564</v>
      </c>
      <c r="L312" s="132"/>
      <c r="M312" s="105"/>
      <c r="N312" s="33">
        <f t="shared" si="155"/>
        <v>23115.1619047619</v>
      </c>
      <c r="O312" s="133">
        <v>2823.25</v>
      </c>
      <c r="P312" s="20"/>
      <c r="Q312" s="20"/>
      <c r="R312" s="20"/>
      <c r="S312" s="20"/>
      <c r="T312" s="20"/>
      <c r="U312" s="20"/>
      <c r="W312" s="2"/>
    </row>
    <row r="313" ht="15" hidden="1" customHeight="1" spans="2:25">
      <c r="B313" s="127">
        <f t="shared" si="156"/>
        <v>3</v>
      </c>
      <c r="C313" s="134" t="s">
        <v>251</v>
      </c>
      <c r="D313" s="101">
        <f t="shared" si="153"/>
        <v>0</v>
      </c>
      <c r="E313" s="129"/>
      <c r="F313" s="129"/>
      <c r="G313" s="130"/>
      <c r="H313" s="102">
        <f t="shared" si="154"/>
        <v>0</v>
      </c>
      <c r="I313" s="131" t="s">
        <v>252</v>
      </c>
      <c r="J313" s="35">
        <v>0</v>
      </c>
      <c r="K313" s="101">
        <v>177091</v>
      </c>
      <c r="L313" s="132"/>
      <c r="M313" s="105"/>
      <c r="N313" s="33">
        <f t="shared" si="155"/>
        <v>173717.838095238</v>
      </c>
      <c r="O313" s="133">
        <v>2823.25</v>
      </c>
      <c r="P313" s="20"/>
      <c r="Q313" s="20"/>
      <c r="R313" s="20"/>
      <c r="S313" s="20"/>
      <c r="T313" s="20"/>
      <c r="U313" s="20"/>
      <c r="W313" s="2"/>
    </row>
    <row r="314" ht="15" hidden="1" customHeight="1" spans="2:25">
      <c r="B314" s="127">
        <f t="shared" si="156"/>
        <v>4</v>
      </c>
      <c r="C314" s="134" t="s">
        <v>253</v>
      </c>
      <c r="D314" s="101">
        <f t="shared" si="153"/>
        <v>0</v>
      </c>
      <c r="E314" s="129"/>
      <c r="F314" s="129"/>
      <c r="G314" s="130"/>
      <c r="H314" s="102">
        <f t="shared" si="154"/>
        <v>0</v>
      </c>
      <c r="I314" s="131" t="s">
        <v>252</v>
      </c>
      <c r="J314" s="35">
        <v>0</v>
      </c>
      <c r="K314" s="101">
        <v>48762</v>
      </c>
      <c r="L314" s="132"/>
      <c r="M314" s="105"/>
      <c r="N314" s="33">
        <f t="shared" si="155"/>
        <v>47833.2</v>
      </c>
      <c r="O314" s="133">
        <v>2823.25</v>
      </c>
      <c r="P314" s="20"/>
      <c r="Q314" s="20"/>
      <c r="R314" s="20"/>
      <c r="S314" s="20"/>
      <c r="T314" s="20"/>
      <c r="U314" s="20"/>
      <c r="W314" s="2"/>
    </row>
    <row r="315" ht="15" hidden="1" customHeight="1" spans="2:25">
      <c r="B315" s="127">
        <f t="shared" si="156"/>
        <v>5</v>
      </c>
      <c r="C315" s="134" t="s">
        <v>254</v>
      </c>
      <c r="D315" s="101">
        <f t="shared" si="153"/>
        <v>3.26</v>
      </c>
      <c r="E315" s="129"/>
      <c r="F315" s="129"/>
      <c r="G315" s="130"/>
      <c r="H315" s="102">
        <f t="shared" si="154"/>
        <v>3.26</v>
      </c>
      <c r="I315" s="131" t="s">
        <v>119</v>
      </c>
      <c r="J315" s="35">
        <v>15</v>
      </c>
      <c r="K315" s="101">
        <v>2176</v>
      </c>
      <c r="L315" s="132"/>
      <c r="M315" s="105"/>
      <c r="N315" s="33">
        <f t="shared" si="155"/>
        <v>2134.55238095238</v>
      </c>
      <c r="O315" s="133">
        <v>2823.25</v>
      </c>
      <c r="P315" s="20"/>
      <c r="Q315" s="20"/>
      <c r="R315" s="20"/>
      <c r="S315" s="20"/>
      <c r="T315" s="20"/>
      <c r="U315" s="20"/>
      <c r="W315" s="2"/>
    </row>
    <row r="316" ht="15" customHeight="1" spans="2:25">
      <c r="B316" s="127">
        <f t="shared" si="156"/>
        <v>6</v>
      </c>
      <c r="C316" s="134" t="s">
        <v>255</v>
      </c>
      <c r="D316" s="101">
        <f t="shared" si="153"/>
        <v>29.93</v>
      </c>
      <c r="E316" s="129"/>
      <c r="F316" s="129"/>
      <c r="G316" s="130"/>
      <c r="H316" s="102">
        <f t="shared" si="154"/>
        <v>29.93</v>
      </c>
      <c r="I316" s="131" t="s">
        <v>34</v>
      </c>
      <c r="J316" s="35">
        <v>1720</v>
      </c>
      <c r="K316" s="101">
        <v>174</v>
      </c>
      <c r="L316" s="132"/>
      <c r="M316" s="105"/>
      <c r="N316" s="33">
        <f t="shared" si="155"/>
        <v>170.685714285714</v>
      </c>
      <c r="O316" s="133">
        <v>2823.25</v>
      </c>
      <c r="P316" s="20"/>
      <c r="Q316" s="20"/>
      <c r="R316" s="20"/>
      <c r="S316" s="20"/>
      <c r="T316" s="20"/>
      <c r="U316" s="20"/>
      <c r="W316" s="2"/>
    </row>
    <row r="317" ht="15" customHeight="1" spans="2:25">
      <c r="B317" s="127">
        <f t="shared" si="156"/>
        <v>7</v>
      </c>
      <c r="C317" s="134" t="s">
        <v>256</v>
      </c>
      <c r="D317" s="101">
        <f t="shared" si="153"/>
        <v>18.1</v>
      </c>
      <c r="E317" s="129"/>
      <c r="F317" s="129"/>
      <c r="G317" s="130"/>
      <c r="H317" s="102">
        <f t="shared" si="154"/>
        <v>18.1</v>
      </c>
      <c r="I317" s="131" t="s">
        <v>34</v>
      </c>
      <c r="J317" s="35">
        <v>1560</v>
      </c>
      <c r="K317" s="101">
        <v>116</v>
      </c>
      <c r="L317" s="132"/>
      <c r="M317" s="105"/>
      <c r="N317" s="33">
        <f t="shared" si="155"/>
        <v>113.790476190476</v>
      </c>
      <c r="O317" s="133">
        <v>2823.25</v>
      </c>
      <c r="P317" s="20"/>
      <c r="Q317" s="20"/>
      <c r="R317" s="20"/>
      <c r="S317" s="20"/>
      <c r="T317" s="20"/>
      <c r="U317" s="20"/>
      <c r="W317" s="2"/>
    </row>
    <row r="318" ht="15" hidden="1" customHeight="1" spans="2:25">
      <c r="B318" s="127">
        <f t="shared" si="156"/>
        <v>8</v>
      </c>
      <c r="C318" s="134" t="s">
        <v>257</v>
      </c>
      <c r="D318" s="101">
        <f t="shared" si="153"/>
        <v>4.99</v>
      </c>
      <c r="E318" s="129"/>
      <c r="F318" s="129"/>
      <c r="G318" s="130"/>
      <c r="H318" s="102">
        <f t="shared" si="154"/>
        <v>4.99</v>
      </c>
      <c r="I318" s="131" t="s">
        <v>49</v>
      </c>
      <c r="J318" s="35">
        <v>320</v>
      </c>
      <c r="K318" s="101">
        <v>156</v>
      </c>
      <c r="L318" s="132"/>
      <c r="M318" s="105"/>
      <c r="N318" s="33">
        <f t="shared" si="155"/>
        <v>153.028571428571</v>
      </c>
      <c r="O318" s="133">
        <v>2823.25</v>
      </c>
      <c r="P318" s="20"/>
      <c r="Q318" s="20"/>
      <c r="R318" s="20"/>
      <c r="S318" s="20"/>
      <c r="T318" s="20"/>
      <c r="U318" s="20"/>
      <c r="W318" s="2"/>
    </row>
    <row r="319" ht="15" customHeight="1" spans="2:25">
      <c r="B319" s="127">
        <f t="shared" si="156"/>
        <v>9</v>
      </c>
      <c r="C319" s="134" t="s">
        <v>258</v>
      </c>
      <c r="D319" s="101">
        <f t="shared" si="153"/>
        <v>0.36</v>
      </c>
      <c r="E319" s="129"/>
      <c r="F319" s="129"/>
      <c r="G319" s="130"/>
      <c r="H319" s="102">
        <f t="shared" si="154"/>
        <v>0.36</v>
      </c>
      <c r="I319" s="131" t="s">
        <v>34</v>
      </c>
      <c r="J319" s="35">
        <v>120</v>
      </c>
      <c r="K319" s="101">
        <v>30</v>
      </c>
      <c r="L319" s="132"/>
      <c r="M319" s="105"/>
      <c r="N319" s="33">
        <f t="shared" si="155"/>
        <v>29.4285714285714</v>
      </c>
      <c r="O319" s="133">
        <v>2823.25</v>
      </c>
      <c r="P319" s="20"/>
      <c r="Q319" s="20"/>
      <c r="R319" s="20"/>
      <c r="S319" s="20"/>
      <c r="T319" s="20"/>
      <c r="U319" s="20"/>
      <c r="W319" s="2"/>
    </row>
    <row r="320" ht="15" hidden="1" customHeight="1" spans="2:25">
      <c r="B320" s="127">
        <f t="shared" si="156"/>
        <v>10</v>
      </c>
      <c r="C320" s="134" t="s">
        <v>243</v>
      </c>
      <c r="D320" s="101">
        <f t="shared" si="153"/>
        <v>1.02</v>
      </c>
      <c r="E320" s="129"/>
      <c r="F320" s="129"/>
      <c r="G320" s="130"/>
      <c r="H320" s="102">
        <f t="shared" si="154"/>
        <v>1.02</v>
      </c>
      <c r="I320" s="131" t="s">
        <v>49</v>
      </c>
      <c r="J320" s="35">
        <v>70</v>
      </c>
      <c r="K320" s="101">
        <v>145</v>
      </c>
      <c r="L320" s="132"/>
      <c r="M320" s="105"/>
      <c r="N320" s="33">
        <f t="shared" si="155"/>
        <v>142.238095238095</v>
      </c>
      <c r="O320" s="133">
        <v>2823.25</v>
      </c>
      <c r="P320" s="20"/>
      <c r="Q320" s="20"/>
      <c r="R320" s="20"/>
      <c r="S320" s="20"/>
      <c r="T320" s="20"/>
      <c r="U320" s="20"/>
      <c r="W320" s="2"/>
    </row>
    <row r="321" ht="15" hidden="1" customHeight="1" spans="2:25">
      <c r="B321" s="96" t="s">
        <v>79</v>
      </c>
      <c r="C321" s="26" t="s">
        <v>259</v>
      </c>
      <c r="D321" s="27">
        <f t="shared" ref="D321:H321" si="157">SUM(D322:D330)</f>
        <v>59.47</v>
      </c>
      <c r="E321" s="27">
        <f t="shared" si="157"/>
        <v>0</v>
      </c>
      <c r="F321" s="27">
        <f t="shared" si="157"/>
        <v>0</v>
      </c>
      <c r="G321" s="27">
        <f t="shared" si="157"/>
        <v>0</v>
      </c>
      <c r="H321" s="27">
        <f t="shared" si="157"/>
        <v>59.47</v>
      </c>
      <c r="I321" s="28" t="s">
        <v>17</v>
      </c>
      <c r="J321" s="27">
        <f>J259</f>
        <v>0.715</v>
      </c>
      <c r="K321" s="29">
        <f>H321*10000/J321</f>
        <v>831748.251748252</v>
      </c>
      <c r="L321" s="147"/>
      <c r="M321" s="148"/>
      <c r="N321" s="149"/>
      <c r="O321" s="149"/>
      <c r="P321" s="20"/>
      <c r="Q321" s="20"/>
      <c r="R321" s="20"/>
      <c r="S321" s="20"/>
      <c r="T321" s="20"/>
      <c r="U321" s="20"/>
      <c r="V321" s="34"/>
      <c r="W321" s="2"/>
    </row>
    <row r="322" ht="15" customHeight="1" spans="2:25">
      <c r="B322" s="150">
        <v>1</v>
      </c>
      <c r="C322" s="100" t="s">
        <v>260</v>
      </c>
      <c r="D322" s="101">
        <f t="shared" ref="D322:D330" si="158">ROUND(J322*K322/10000,2)</f>
        <v>35.75</v>
      </c>
      <c r="E322" s="101"/>
      <c r="F322" s="21"/>
      <c r="G322" s="103"/>
      <c r="H322" s="102">
        <f t="shared" ref="H322:H330" si="159">SUM(D322:G322)</f>
        <v>35.75</v>
      </c>
      <c r="I322" s="103" t="s">
        <v>34</v>
      </c>
      <c r="J322" s="35">
        <f>715</f>
        <v>715</v>
      </c>
      <c r="K322" s="101">
        <f>500000/1000</f>
        <v>500</v>
      </c>
      <c r="L322" s="23"/>
      <c r="M322" s="151"/>
      <c r="N322" s="33">
        <f t="shared" ref="N322:N330" si="160">K322/1.05*1.03</f>
        <v>490.47619047619</v>
      </c>
      <c r="O322" s="152">
        <v>72.58</v>
      </c>
      <c r="P322" s="20"/>
      <c r="Q322" s="20"/>
      <c r="R322" s="20"/>
      <c r="S322" s="20"/>
      <c r="T322" s="20"/>
      <c r="U322" s="20"/>
      <c r="W322" s="2"/>
    </row>
    <row r="323" ht="15" hidden="1" customHeight="1" spans="2:25">
      <c r="B323" s="150">
        <v>2</v>
      </c>
      <c r="C323" s="100" t="s">
        <v>261</v>
      </c>
      <c r="D323" s="101">
        <f t="shared" si="158"/>
        <v>0</v>
      </c>
      <c r="E323" s="101"/>
      <c r="F323" s="21"/>
      <c r="G323" s="103"/>
      <c r="H323" s="102">
        <f t="shared" si="159"/>
        <v>0</v>
      </c>
      <c r="I323" s="103" t="s">
        <v>49</v>
      </c>
      <c r="J323" s="35">
        <f t="shared" ref="J323:J328" si="161">SUM(P323:T323)</f>
        <v>0</v>
      </c>
      <c r="K323" s="101">
        <v>66111.6094285714</v>
      </c>
      <c r="L323" s="23"/>
      <c r="M323" s="151"/>
      <c r="N323" s="33">
        <f t="shared" si="160"/>
        <v>64852.340677551</v>
      </c>
      <c r="O323" s="152">
        <v>67395.33</v>
      </c>
      <c r="P323" s="20"/>
      <c r="Q323" s="20"/>
      <c r="R323" s="20"/>
      <c r="S323" s="20"/>
      <c r="T323" s="20"/>
      <c r="U323" s="20"/>
      <c r="W323" s="2"/>
    </row>
    <row r="324" ht="15" hidden="1" customHeight="1" spans="2:25">
      <c r="B324" s="150">
        <v>3</v>
      </c>
      <c r="C324" s="100" t="s">
        <v>262</v>
      </c>
      <c r="D324" s="101">
        <f t="shared" si="158"/>
        <v>0</v>
      </c>
      <c r="E324" s="101"/>
      <c r="F324" s="21"/>
      <c r="G324" s="103"/>
      <c r="H324" s="102">
        <f t="shared" si="159"/>
        <v>0</v>
      </c>
      <c r="I324" s="103" t="s">
        <v>49</v>
      </c>
      <c r="J324" s="35">
        <f t="shared" si="161"/>
        <v>0</v>
      </c>
      <c r="K324" s="101">
        <v>18836.2476190476</v>
      </c>
      <c r="L324" s="23"/>
      <c r="M324" s="151"/>
      <c r="N324" s="33">
        <f t="shared" si="160"/>
        <v>18477.4619501134</v>
      </c>
      <c r="O324" s="152">
        <v>19202</v>
      </c>
      <c r="P324" s="20"/>
      <c r="Q324" s="20"/>
      <c r="R324" s="20"/>
      <c r="S324" s="20"/>
      <c r="T324" s="20"/>
      <c r="U324" s="20"/>
      <c r="W324" s="2"/>
    </row>
    <row r="325" ht="15" hidden="1" customHeight="1" spans="2:25">
      <c r="B325" s="150">
        <v>4</v>
      </c>
      <c r="C325" s="100" t="s">
        <v>263</v>
      </c>
      <c r="D325" s="101">
        <f t="shared" si="158"/>
        <v>0</v>
      </c>
      <c r="E325" s="101"/>
      <c r="F325" s="21"/>
      <c r="G325" s="103"/>
      <c r="H325" s="102">
        <f t="shared" si="159"/>
        <v>0</v>
      </c>
      <c r="I325" s="103" t="s">
        <v>49</v>
      </c>
      <c r="J325" s="35">
        <f t="shared" si="161"/>
        <v>0</v>
      </c>
      <c r="K325" s="101">
        <v>16667.3619047619</v>
      </c>
      <c r="L325" s="23"/>
      <c r="M325" s="151"/>
      <c r="N325" s="33">
        <f t="shared" si="160"/>
        <v>16349.8883446712</v>
      </c>
      <c r="O325" s="152">
        <v>16991</v>
      </c>
      <c r="P325" s="20"/>
      <c r="Q325" s="20"/>
      <c r="R325" s="20"/>
      <c r="S325" s="20"/>
      <c r="T325" s="20"/>
      <c r="U325" s="20"/>
      <c r="W325" s="2"/>
    </row>
    <row r="326" ht="15" hidden="1" customHeight="1" spans="2:25">
      <c r="B326" s="150">
        <v>5</v>
      </c>
      <c r="C326" s="100" t="s">
        <v>264</v>
      </c>
      <c r="D326" s="101">
        <f t="shared" si="158"/>
        <v>0</v>
      </c>
      <c r="E326" s="101"/>
      <c r="F326" s="21"/>
      <c r="G326" s="103"/>
      <c r="H326" s="102">
        <f t="shared" si="159"/>
        <v>0</v>
      </c>
      <c r="I326" s="103" t="s">
        <v>49</v>
      </c>
      <c r="J326" s="35">
        <f t="shared" si="161"/>
        <v>0</v>
      </c>
      <c r="K326" s="101">
        <v>5232.4</v>
      </c>
      <c r="L326" s="23"/>
      <c r="M326" s="151"/>
      <c r="N326" s="33">
        <f t="shared" si="160"/>
        <v>5132.73523809524</v>
      </c>
      <c r="O326" s="152">
        <v>5334</v>
      </c>
      <c r="P326" s="20"/>
      <c r="Q326" s="20"/>
      <c r="R326" s="20"/>
      <c r="S326" s="20"/>
      <c r="T326" s="20"/>
      <c r="U326" s="20"/>
      <c r="W326" s="2"/>
    </row>
    <row r="327" ht="15" hidden="1" customHeight="1" spans="2:25">
      <c r="B327" s="150">
        <v>6</v>
      </c>
      <c r="C327" s="100" t="s">
        <v>265</v>
      </c>
      <c r="D327" s="101">
        <f t="shared" si="158"/>
        <v>0</v>
      </c>
      <c r="E327" s="101"/>
      <c r="F327" s="21"/>
      <c r="G327" s="103"/>
      <c r="H327" s="102">
        <f t="shared" si="159"/>
        <v>0</v>
      </c>
      <c r="I327" s="103" t="s">
        <v>49</v>
      </c>
      <c r="J327" s="35">
        <f t="shared" si="161"/>
        <v>0</v>
      </c>
      <c r="K327" s="101">
        <v>1422.62619047619</v>
      </c>
      <c r="L327" s="23"/>
      <c r="M327" s="151"/>
      <c r="N327" s="33">
        <f t="shared" si="160"/>
        <v>1395.52854875283</v>
      </c>
      <c r="O327" s="152">
        <v>1450.25</v>
      </c>
      <c r="P327" s="20"/>
      <c r="Q327" s="20"/>
      <c r="R327" s="20"/>
      <c r="S327" s="20"/>
      <c r="T327" s="20"/>
      <c r="U327" s="20"/>
      <c r="W327" s="2"/>
    </row>
    <row r="328" ht="15" hidden="1" customHeight="1" spans="2:25">
      <c r="B328" s="150">
        <v>7</v>
      </c>
      <c r="C328" s="40" t="s">
        <v>266</v>
      </c>
      <c r="D328" s="101">
        <f t="shared" si="158"/>
        <v>0</v>
      </c>
      <c r="E328" s="101"/>
      <c r="F328" s="35"/>
      <c r="G328" s="102"/>
      <c r="H328" s="102">
        <f t="shared" si="159"/>
        <v>0</v>
      </c>
      <c r="I328" s="103" t="s">
        <v>49</v>
      </c>
      <c r="J328" s="35">
        <f t="shared" si="161"/>
        <v>0</v>
      </c>
      <c r="K328" s="101">
        <v>1906.97142857143</v>
      </c>
      <c r="L328" s="153"/>
      <c r="M328" s="105"/>
      <c r="N328" s="33">
        <f t="shared" si="160"/>
        <v>1870.64816326531</v>
      </c>
      <c r="O328" s="133">
        <v>1944</v>
      </c>
      <c r="P328" s="20"/>
      <c r="Q328" s="20"/>
      <c r="R328" s="20"/>
      <c r="S328" s="20"/>
      <c r="T328" s="20"/>
      <c r="U328" s="20"/>
      <c r="W328" s="2"/>
    </row>
    <row r="329" ht="15" customHeight="1" spans="2:25">
      <c r="B329" s="150">
        <v>8</v>
      </c>
      <c r="C329" s="40" t="s">
        <v>267</v>
      </c>
      <c r="D329" s="101">
        <f t="shared" si="158"/>
        <v>0</v>
      </c>
      <c r="E329" s="101"/>
      <c r="F329" s="35"/>
      <c r="G329" s="102"/>
      <c r="H329" s="102">
        <f t="shared" si="159"/>
        <v>0</v>
      </c>
      <c r="I329" s="103" t="s">
        <v>34</v>
      </c>
      <c r="J329" s="35"/>
      <c r="K329" s="101">
        <v>387</v>
      </c>
      <c r="L329" s="153"/>
      <c r="M329" s="105"/>
      <c r="N329" s="33">
        <f t="shared" si="160"/>
        <v>379.628571428571</v>
      </c>
      <c r="O329" s="133">
        <v>283.16</v>
      </c>
      <c r="P329" s="20"/>
      <c r="Q329" s="20"/>
      <c r="R329" s="20"/>
      <c r="S329" s="20"/>
      <c r="T329" s="20"/>
      <c r="U329" s="20"/>
      <c r="W329" s="2"/>
    </row>
    <row r="330" ht="15" customHeight="1" spans="2:25">
      <c r="B330" s="150">
        <v>9</v>
      </c>
      <c r="C330" s="40" t="s">
        <v>268</v>
      </c>
      <c r="D330" s="101">
        <f t="shared" si="158"/>
        <v>23.72</v>
      </c>
      <c r="E330" s="101"/>
      <c r="F330" s="35"/>
      <c r="G330" s="102"/>
      <c r="H330" s="102">
        <f t="shared" si="159"/>
        <v>23.72</v>
      </c>
      <c r="I330" s="103" t="s">
        <v>34</v>
      </c>
      <c r="J330" s="35">
        <v>765</v>
      </c>
      <c r="K330" s="101">
        <v>310</v>
      </c>
      <c r="L330" s="153"/>
      <c r="M330" s="105"/>
      <c r="N330" s="33">
        <f t="shared" si="160"/>
        <v>304.095238095238</v>
      </c>
      <c r="O330" s="133">
        <v>283.16</v>
      </c>
      <c r="P330" s="20"/>
      <c r="Q330" s="20"/>
      <c r="R330" s="20"/>
      <c r="S330" s="20"/>
      <c r="T330" s="20"/>
      <c r="U330" s="20"/>
      <c r="W330" s="2"/>
    </row>
    <row r="331" ht="15" hidden="1" customHeight="1" spans="2:25">
      <c r="B331" s="154" t="s">
        <v>84</v>
      </c>
      <c r="C331" s="155" t="s">
        <v>269</v>
      </c>
      <c r="D331" s="45">
        <f t="shared" ref="D331:H331" si="162">SUM(D332:D332)</f>
        <v>0</v>
      </c>
      <c r="E331" s="45">
        <f t="shared" si="162"/>
        <v>0</v>
      </c>
      <c r="F331" s="45">
        <f t="shared" si="162"/>
        <v>0</v>
      </c>
      <c r="G331" s="45">
        <f t="shared" si="162"/>
        <v>0</v>
      </c>
      <c r="H331" s="45">
        <f t="shared" si="162"/>
        <v>0</v>
      </c>
      <c r="I331" s="28" t="s">
        <v>17</v>
      </c>
      <c r="J331" s="28">
        <f>J259</f>
        <v>0.715</v>
      </c>
      <c r="K331" s="29">
        <f>H331*10000/J331</f>
        <v>0</v>
      </c>
      <c r="L331" s="107"/>
      <c r="M331" s="105"/>
      <c r="N331" s="33"/>
      <c r="O331" s="33"/>
      <c r="P331" s="20"/>
      <c r="Q331" s="20"/>
      <c r="R331" s="20"/>
      <c r="S331" s="20"/>
      <c r="T331" s="20"/>
      <c r="U331" s="20"/>
      <c r="V331" s="20"/>
      <c r="W331" s="2"/>
    </row>
    <row r="332" ht="15" hidden="1" customHeight="1" spans="2:25">
      <c r="B332" s="150">
        <v>1</v>
      </c>
      <c r="C332" s="156" t="s">
        <v>269</v>
      </c>
      <c r="D332" s="45"/>
      <c r="E332" s="101">
        <f>ROUND(J332*K332/10000,2)</f>
        <v>0</v>
      </c>
      <c r="F332" s="21"/>
      <c r="G332" s="103"/>
      <c r="H332" s="102">
        <f t="shared" ref="H332:H336" si="163">SUM(D332:G332)</f>
        <v>0</v>
      </c>
      <c r="I332" s="35" t="s">
        <v>49</v>
      </c>
      <c r="J332" s="35">
        <v>0</v>
      </c>
      <c r="K332" s="101">
        <v>490476.19047619</v>
      </c>
      <c r="L332" s="107"/>
      <c r="M332" s="105"/>
      <c r="N332" s="33">
        <f t="shared" ref="N332:N336" si="164">K332/1.05*1.03</f>
        <v>481133.786848072</v>
      </c>
      <c r="O332" s="133">
        <v>500000</v>
      </c>
      <c r="P332" s="20"/>
      <c r="Q332" s="20"/>
      <c r="R332" s="20"/>
      <c r="S332" s="20"/>
      <c r="T332" s="20"/>
      <c r="U332" s="20"/>
      <c r="V332" s="20"/>
      <c r="W332" s="2"/>
    </row>
    <row r="333" s="2" customFormat="1" ht="15" hidden="1" customHeight="1" spans="2:25">
      <c r="B333" s="96">
        <v>1.5</v>
      </c>
      <c r="C333" s="26" t="s">
        <v>181</v>
      </c>
      <c r="D333" s="27">
        <f t="shared" ref="D333:H333" si="165">D334+D337+D359+D364+D369+D375+D382+D387+D398+D408</f>
        <v>1223.99</v>
      </c>
      <c r="E333" s="27">
        <f t="shared" si="165"/>
        <v>0</v>
      </c>
      <c r="F333" s="27">
        <f t="shared" si="165"/>
        <v>0</v>
      </c>
      <c r="G333" s="27">
        <f t="shared" si="165"/>
        <v>0</v>
      </c>
      <c r="H333" s="27">
        <f t="shared" si="165"/>
        <v>1223.99</v>
      </c>
      <c r="I333" s="28" t="s">
        <v>17</v>
      </c>
      <c r="J333" s="27">
        <f>T2</f>
        <v>0.375</v>
      </c>
      <c r="K333" s="29">
        <f>H333/J333*10000</f>
        <v>32639733.3333333</v>
      </c>
      <c r="L333" s="30"/>
      <c r="M333" s="97"/>
      <c r="N333" s="32"/>
      <c r="O333" s="32"/>
      <c r="P333" s="20"/>
      <c r="Q333" s="20"/>
      <c r="R333" s="20"/>
      <c r="S333" s="20"/>
      <c r="T333" s="20"/>
      <c r="U333" s="20"/>
      <c r="V333" s="34"/>
      <c r="X333" s="6"/>
      <c r="Y333" s="6"/>
    </row>
    <row r="334" ht="15" hidden="1" customHeight="1" spans="2:25">
      <c r="B334" s="96" t="s">
        <v>19</v>
      </c>
      <c r="C334" s="26" t="s">
        <v>20</v>
      </c>
      <c r="D334" s="27">
        <f>SUM(D335:D336)</f>
        <v>7.51</v>
      </c>
      <c r="E334" s="27">
        <f t="shared" ref="E334:G334" si="166">SUM(E335:E343)</f>
        <v>0</v>
      </c>
      <c r="F334" s="27">
        <f t="shared" si="166"/>
        <v>0</v>
      </c>
      <c r="G334" s="27">
        <f t="shared" si="166"/>
        <v>0</v>
      </c>
      <c r="H334" s="27">
        <f>SUM(H335:H336)</f>
        <v>7.51</v>
      </c>
      <c r="I334" s="28" t="s">
        <v>17</v>
      </c>
      <c r="J334" s="27">
        <f>J333</f>
        <v>0.375</v>
      </c>
      <c r="K334" s="29">
        <f>H334/J334*10000</f>
        <v>200266.666666667</v>
      </c>
      <c r="L334" s="98"/>
      <c r="M334" s="97"/>
      <c r="N334" s="32"/>
      <c r="O334" s="32"/>
      <c r="P334" s="20"/>
      <c r="Q334" s="20"/>
      <c r="R334" s="20"/>
      <c r="S334" s="20"/>
      <c r="T334" s="20"/>
      <c r="U334" s="20"/>
      <c r="V334" s="20"/>
      <c r="W334" s="2"/>
    </row>
    <row r="335" s="87" customFormat="1" ht="15" hidden="1" customHeight="1" spans="2:25">
      <c r="B335" s="99">
        <v>1</v>
      </c>
      <c r="C335" s="100" t="s">
        <v>197</v>
      </c>
      <c r="D335" s="101">
        <f t="shared" ref="D335:D358" si="167">ROUND(J335*K335/10000,2)</f>
        <v>6.98</v>
      </c>
      <c r="E335" s="35"/>
      <c r="F335" s="35"/>
      <c r="G335" s="102"/>
      <c r="H335" s="102">
        <f t="shared" si="163"/>
        <v>6.98</v>
      </c>
      <c r="I335" s="103" t="s">
        <v>22</v>
      </c>
      <c r="J335" s="35">
        <f>2064*0.3+5289*0.19</f>
        <v>1624.11</v>
      </c>
      <c r="K335" s="101">
        <v>43</v>
      </c>
      <c r="L335" s="160"/>
      <c r="M335" s="161"/>
      <c r="N335" s="33">
        <f t="shared" si="164"/>
        <v>42.1809523809524</v>
      </c>
      <c r="O335" s="157">
        <v>14.05</v>
      </c>
      <c r="P335" s="158"/>
      <c r="Q335" s="158"/>
      <c r="R335" s="158"/>
      <c r="S335" s="158"/>
      <c r="T335" s="158"/>
      <c r="U335" s="158"/>
      <c r="V335" s="159"/>
      <c r="X335" s="159"/>
      <c r="Y335" s="159"/>
    </row>
    <row r="336" s="87" customFormat="1" ht="15" hidden="1" customHeight="1" spans="2:25">
      <c r="B336" s="99">
        <v>2</v>
      </c>
      <c r="C336" s="100" t="s">
        <v>198</v>
      </c>
      <c r="D336" s="101">
        <f t="shared" si="167"/>
        <v>0.53</v>
      </c>
      <c r="E336" s="21"/>
      <c r="F336" s="21"/>
      <c r="G336" s="103"/>
      <c r="H336" s="102">
        <f t="shared" si="163"/>
        <v>0.53</v>
      </c>
      <c r="I336" s="103" t="s">
        <v>27</v>
      </c>
      <c r="J336" s="35">
        <v>5289</v>
      </c>
      <c r="K336" s="101">
        <v>1</v>
      </c>
      <c r="L336" s="18"/>
      <c r="M336" s="105"/>
      <c r="N336" s="33">
        <f t="shared" si="164"/>
        <v>0.980952380952381</v>
      </c>
      <c r="O336" s="157">
        <v>14.67</v>
      </c>
      <c r="P336" s="158"/>
      <c r="Q336" s="158"/>
      <c r="R336" s="158"/>
      <c r="S336" s="158"/>
      <c r="T336" s="158"/>
      <c r="U336" s="158"/>
      <c r="V336" s="159"/>
      <c r="X336" s="159"/>
      <c r="Y336" s="159"/>
    </row>
    <row r="337" ht="15" hidden="1" customHeight="1" spans="2:25">
      <c r="B337" s="96" t="s">
        <v>39</v>
      </c>
      <c r="C337" s="26" t="s">
        <v>40</v>
      </c>
      <c r="D337" s="27">
        <f>SUM(D338:D358)</f>
        <v>390.48</v>
      </c>
      <c r="E337" s="27">
        <f t="shared" ref="E337:G337" si="168">SUM(E338:E346)</f>
        <v>0</v>
      </c>
      <c r="F337" s="27">
        <f t="shared" si="168"/>
        <v>0</v>
      </c>
      <c r="G337" s="27">
        <f t="shared" si="168"/>
        <v>0</v>
      </c>
      <c r="H337" s="27">
        <f>SUM(H338:H358)</f>
        <v>390.48</v>
      </c>
      <c r="I337" s="28" t="s">
        <v>27</v>
      </c>
      <c r="J337" s="27">
        <f>J343+J353</f>
        <v>6832</v>
      </c>
      <c r="K337" s="29">
        <f>H337*10000/J337</f>
        <v>571.545667447307</v>
      </c>
      <c r="L337" s="107"/>
      <c r="M337" s="97"/>
      <c r="N337" s="32"/>
      <c r="O337" s="32"/>
      <c r="P337" s="20"/>
      <c r="Q337" s="20"/>
      <c r="R337" s="20"/>
      <c r="S337" s="20"/>
      <c r="T337" s="20"/>
      <c r="U337" s="20"/>
      <c r="V337" s="34"/>
      <c r="W337" s="2"/>
    </row>
    <row r="338" s="83" customFormat="1" ht="15" hidden="1" customHeight="1" spans="2:25">
      <c r="B338" s="108">
        <v>1</v>
      </c>
      <c r="C338" s="109" t="s">
        <v>199</v>
      </c>
      <c r="D338" s="110">
        <f t="shared" si="167"/>
        <v>29.56</v>
      </c>
      <c r="E338" s="111"/>
      <c r="F338" s="111"/>
      <c r="G338" s="112"/>
      <c r="H338" s="113">
        <f t="shared" ref="H338:H358" si="169">SUM(D338:G338)</f>
        <v>29.56</v>
      </c>
      <c r="I338" s="112" t="s">
        <v>27</v>
      </c>
      <c r="J338" s="114">
        <v>4768</v>
      </c>
      <c r="K338" s="110">
        <v>62</v>
      </c>
      <c r="L338" s="115"/>
      <c r="M338" s="116"/>
      <c r="N338" s="117">
        <f t="shared" ref="N338:N358" si="170">K338/1.05*1.03</f>
        <v>60.8190476190476</v>
      </c>
      <c r="O338" s="118">
        <v>47.411</v>
      </c>
      <c r="P338" s="119">
        <f>J338*0.62</f>
        <v>2956.16</v>
      </c>
      <c r="Q338" s="119"/>
      <c r="R338" s="119"/>
      <c r="S338" s="119"/>
      <c r="T338" s="119"/>
      <c r="U338" s="119"/>
      <c r="V338" s="120"/>
      <c r="X338" s="120"/>
      <c r="Y338" s="120"/>
    </row>
    <row r="339" s="83" customFormat="1" ht="15" hidden="1" customHeight="1" spans="2:25">
      <c r="B339" s="121">
        <f t="shared" ref="B339:B358" si="171">B338+1</f>
        <v>2</v>
      </c>
      <c r="C339" s="122" t="s">
        <v>200</v>
      </c>
      <c r="D339" s="110">
        <f t="shared" si="167"/>
        <v>6.19</v>
      </c>
      <c r="E339" s="123"/>
      <c r="F339" s="123"/>
      <c r="G339" s="124"/>
      <c r="H339" s="113">
        <f t="shared" si="169"/>
        <v>6.19</v>
      </c>
      <c r="I339" s="125" t="s">
        <v>27</v>
      </c>
      <c r="J339" s="114">
        <v>2064</v>
      </c>
      <c r="K339" s="110">
        <v>30</v>
      </c>
      <c r="L339" s="126"/>
      <c r="M339" s="116"/>
      <c r="N339" s="117">
        <f t="shared" si="170"/>
        <v>29.4285714285714</v>
      </c>
      <c r="O339" s="118">
        <v>83.38</v>
      </c>
      <c r="P339" s="119">
        <f>J339*0.36</f>
        <v>743.04</v>
      </c>
      <c r="Q339" s="119"/>
      <c r="R339" s="119"/>
      <c r="S339" s="119"/>
      <c r="T339" s="119"/>
      <c r="U339" s="119"/>
      <c r="V339" s="120"/>
      <c r="X339" s="120"/>
      <c r="Y339" s="120"/>
    </row>
    <row r="340" ht="15" customHeight="1" spans="2:25">
      <c r="B340" s="127">
        <f t="shared" si="171"/>
        <v>3</v>
      </c>
      <c r="C340" s="128" t="s">
        <v>201</v>
      </c>
      <c r="D340" s="101">
        <f t="shared" si="167"/>
        <v>0.92</v>
      </c>
      <c r="E340" s="129"/>
      <c r="F340" s="129"/>
      <c r="G340" s="130"/>
      <c r="H340" s="102">
        <f t="shared" si="169"/>
        <v>0.92</v>
      </c>
      <c r="I340" s="131" t="s">
        <v>34</v>
      </c>
      <c r="J340" s="35">
        <v>711</v>
      </c>
      <c r="K340" s="101">
        <v>13</v>
      </c>
      <c r="L340" s="132"/>
      <c r="M340" s="105"/>
      <c r="N340" s="33">
        <f t="shared" si="170"/>
        <v>12.752380952381</v>
      </c>
      <c r="O340" s="133">
        <v>78.762</v>
      </c>
      <c r="P340" s="20"/>
      <c r="Q340" s="20"/>
      <c r="R340" s="20"/>
      <c r="S340" s="20"/>
      <c r="T340" s="20"/>
      <c r="U340" s="20"/>
      <c r="W340" s="2"/>
    </row>
    <row r="341" ht="15" customHeight="1" spans="2:25">
      <c r="B341" s="127">
        <f t="shared" si="171"/>
        <v>4</v>
      </c>
      <c r="C341" s="128" t="s">
        <v>202</v>
      </c>
      <c r="D341" s="101">
        <f t="shared" si="167"/>
        <v>0.55</v>
      </c>
      <c r="E341" s="129"/>
      <c r="F341" s="129"/>
      <c r="G341" s="130"/>
      <c r="H341" s="102">
        <f t="shared" si="169"/>
        <v>0.55</v>
      </c>
      <c r="I341" s="131" t="s">
        <v>34</v>
      </c>
      <c r="J341" s="35">
        <v>687</v>
      </c>
      <c r="K341" s="101">
        <v>8</v>
      </c>
      <c r="L341" s="132"/>
      <c r="M341" s="105"/>
      <c r="N341" s="33">
        <f t="shared" si="170"/>
        <v>7.84761904761905</v>
      </c>
      <c r="O341" s="133">
        <v>3.434</v>
      </c>
      <c r="P341" s="20"/>
      <c r="Q341" s="20"/>
      <c r="R341" s="20"/>
      <c r="S341" s="20"/>
      <c r="T341" s="20"/>
      <c r="U341" s="20"/>
      <c r="W341" s="2"/>
    </row>
    <row r="342" ht="15" customHeight="1" spans="2:25">
      <c r="B342" s="127">
        <f t="shared" si="171"/>
        <v>5</v>
      </c>
      <c r="C342" s="128" t="s">
        <v>203</v>
      </c>
      <c r="D342" s="101">
        <f t="shared" si="167"/>
        <v>17.02</v>
      </c>
      <c r="E342" s="129"/>
      <c r="F342" s="129"/>
      <c r="G342" s="130"/>
      <c r="H342" s="102">
        <f t="shared" si="169"/>
        <v>17.02</v>
      </c>
      <c r="I342" s="131" t="s">
        <v>34</v>
      </c>
      <c r="J342" s="35">
        <v>740</v>
      </c>
      <c r="K342" s="101">
        <v>230</v>
      </c>
      <c r="L342" s="132"/>
      <c r="M342" s="105"/>
      <c r="N342" s="33">
        <f t="shared" si="170"/>
        <v>225.619047619048</v>
      </c>
      <c r="O342" s="133">
        <v>21.646</v>
      </c>
      <c r="P342" s="20"/>
      <c r="Q342" s="20"/>
      <c r="R342" s="20"/>
      <c r="S342" s="20"/>
      <c r="T342" s="20"/>
      <c r="U342" s="20"/>
      <c r="W342" s="2"/>
    </row>
    <row r="343" ht="15" hidden="1" customHeight="1" spans="2:25">
      <c r="B343" s="127">
        <f t="shared" si="171"/>
        <v>6</v>
      </c>
      <c r="C343" s="128" t="s">
        <v>204</v>
      </c>
      <c r="D343" s="101">
        <f t="shared" si="167"/>
        <v>50.06</v>
      </c>
      <c r="E343" s="129"/>
      <c r="F343" s="129"/>
      <c r="G343" s="130"/>
      <c r="H343" s="102">
        <f t="shared" si="169"/>
        <v>50.06</v>
      </c>
      <c r="I343" s="131" t="s">
        <v>27</v>
      </c>
      <c r="J343" s="35">
        <v>4768</v>
      </c>
      <c r="K343" s="101">
        <v>105</v>
      </c>
      <c r="L343" s="132"/>
      <c r="M343" s="105"/>
      <c r="N343" s="33">
        <f t="shared" si="170"/>
        <v>103</v>
      </c>
      <c r="O343" s="133">
        <v>6.15</v>
      </c>
      <c r="P343" s="20"/>
      <c r="Q343" s="20"/>
      <c r="R343" s="20"/>
      <c r="S343" s="20"/>
      <c r="T343" s="20"/>
      <c r="U343" s="20"/>
      <c r="W343" s="2"/>
    </row>
    <row r="344" ht="15" hidden="1" customHeight="1" spans="2:25">
      <c r="B344" s="127">
        <f t="shared" si="171"/>
        <v>7</v>
      </c>
      <c r="C344" s="128" t="s">
        <v>205</v>
      </c>
      <c r="D344" s="101">
        <f t="shared" si="167"/>
        <v>0</v>
      </c>
      <c r="E344" s="129"/>
      <c r="F344" s="129"/>
      <c r="G344" s="130"/>
      <c r="H344" s="102">
        <f t="shared" si="169"/>
        <v>0</v>
      </c>
      <c r="I344" s="131" t="s">
        <v>27</v>
      </c>
      <c r="J344" s="35">
        <v>0</v>
      </c>
      <c r="K344" s="101">
        <v>98</v>
      </c>
      <c r="L344" s="132"/>
      <c r="M344" s="105"/>
      <c r="N344" s="33">
        <f t="shared" si="170"/>
        <v>96.1333333333333</v>
      </c>
      <c r="O344" s="133">
        <v>99.778</v>
      </c>
      <c r="P344" s="20"/>
      <c r="Q344" s="20"/>
      <c r="R344" s="20"/>
      <c r="S344" s="20"/>
      <c r="T344" s="20"/>
      <c r="U344" s="20"/>
      <c r="W344" s="2"/>
    </row>
    <row r="345" ht="15" hidden="1" customHeight="1" spans="2:25">
      <c r="B345" s="127">
        <f t="shared" si="171"/>
        <v>8</v>
      </c>
      <c r="C345" s="128" t="s">
        <v>206</v>
      </c>
      <c r="D345" s="101">
        <f t="shared" si="167"/>
        <v>61.51</v>
      </c>
      <c r="E345" s="129"/>
      <c r="F345" s="129"/>
      <c r="G345" s="130"/>
      <c r="H345" s="102">
        <f t="shared" si="169"/>
        <v>61.51</v>
      </c>
      <c r="I345" s="131" t="s">
        <v>27</v>
      </c>
      <c r="J345" s="35">
        <v>4768</v>
      </c>
      <c r="K345" s="101">
        <v>129</v>
      </c>
      <c r="L345" s="132"/>
      <c r="M345" s="105"/>
      <c r="N345" s="33">
        <f t="shared" si="170"/>
        <v>126.542857142857</v>
      </c>
      <c r="O345" s="133">
        <v>95.083</v>
      </c>
      <c r="P345" s="20"/>
      <c r="Q345" s="20"/>
      <c r="R345" s="20"/>
      <c r="S345" s="20"/>
      <c r="T345" s="20"/>
      <c r="U345" s="20"/>
      <c r="W345" s="2"/>
    </row>
    <row r="346" ht="15" hidden="1" customHeight="1" spans="2:25">
      <c r="B346" s="127">
        <f t="shared" si="171"/>
        <v>9</v>
      </c>
      <c r="C346" s="128" t="s">
        <v>207</v>
      </c>
      <c r="D346" s="101">
        <f t="shared" si="167"/>
        <v>0</v>
      </c>
      <c r="E346" s="129"/>
      <c r="F346" s="129"/>
      <c r="G346" s="130"/>
      <c r="H346" s="102">
        <f t="shared" si="169"/>
        <v>0</v>
      </c>
      <c r="I346" s="131" t="s">
        <v>27</v>
      </c>
      <c r="J346" s="35">
        <f t="shared" ref="J346:J351" si="172">SUM(P346:T346)</f>
        <v>0</v>
      </c>
      <c r="K346" s="101">
        <v>132</v>
      </c>
      <c r="L346" s="132"/>
      <c r="M346" s="105"/>
      <c r="N346" s="33">
        <f t="shared" si="170"/>
        <v>129.485714285714</v>
      </c>
      <c r="O346" s="133">
        <v>37.543</v>
      </c>
      <c r="P346" s="20"/>
      <c r="Q346" s="20"/>
      <c r="R346" s="20"/>
      <c r="S346" s="20"/>
      <c r="T346" s="20"/>
      <c r="U346" s="20"/>
      <c r="W346" s="2"/>
    </row>
    <row r="347" ht="15" hidden="1" customHeight="1" spans="2:25">
      <c r="B347" s="127">
        <f t="shared" si="171"/>
        <v>10</v>
      </c>
      <c r="C347" s="128" t="s">
        <v>208</v>
      </c>
      <c r="D347" s="101">
        <f t="shared" si="167"/>
        <v>10.49</v>
      </c>
      <c r="E347" s="129"/>
      <c r="F347" s="129"/>
      <c r="G347" s="130"/>
      <c r="H347" s="102">
        <f t="shared" si="169"/>
        <v>10.49</v>
      </c>
      <c r="I347" s="131" t="s">
        <v>27</v>
      </c>
      <c r="J347" s="35">
        <v>4768</v>
      </c>
      <c r="K347" s="101">
        <v>22</v>
      </c>
      <c r="L347" s="132"/>
      <c r="M347" s="105"/>
      <c r="N347" s="33">
        <f t="shared" si="170"/>
        <v>21.5809523809524</v>
      </c>
      <c r="O347" s="133">
        <v>136.246</v>
      </c>
      <c r="P347" s="20"/>
      <c r="Q347" s="20"/>
      <c r="R347" s="20"/>
      <c r="S347" s="20"/>
      <c r="T347" s="20"/>
      <c r="U347" s="20"/>
      <c r="W347" s="2"/>
    </row>
    <row r="348" ht="15" hidden="1" customHeight="1" spans="2:25">
      <c r="B348" s="127">
        <f t="shared" si="171"/>
        <v>11</v>
      </c>
      <c r="C348" s="128" t="s">
        <v>209</v>
      </c>
      <c r="D348" s="101">
        <f t="shared" si="167"/>
        <v>50.06</v>
      </c>
      <c r="E348" s="129"/>
      <c r="F348" s="129"/>
      <c r="G348" s="130"/>
      <c r="H348" s="102">
        <f t="shared" si="169"/>
        <v>50.06</v>
      </c>
      <c r="I348" s="131" t="s">
        <v>27</v>
      </c>
      <c r="J348" s="35">
        <v>4768</v>
      </c>
      <c r="K348" s="101">
        <v>105</v>
      </c>
      <c r="L348" s="132"/>
      <c r="M348" s="105"/>
      <c r="N348" s="33">
        <f t="shared" si="170"/>
        <v>103</v>
      </c>
      <c r="O348" s="133">
        <v>99.778</v>
      </c>
      <c r="P348" s="20"/>
      <c r="Q348" s="20"/>
      <c r="R348" s="20"/>
      <c r="S348" s="20"/>
      <c r="T348" s="20"/>
      <c r="U348" s="20"/>
      <c r="W348" s="2"/>
    </row>
    <row r="349" ht="15" hidden="1" customHeight="1" spans="2:25">
      <c r="B349" s="127">
        <f t="shared" si="171"/>
        <v>12</v>
      </c>
      <c r="C349" s="128" t="s">
        <v>210</v>
      </c>
      <c r="D349" s="101">
        <f t="shared" si="167"/>
        <v>0</v>
      </c>
      <c r="E349" s="129"/>
      <c r="F349" s="129"/>
      <c r="G349" s="130"/>
      <c r="H349" s="102">
        <f t="shared" si="169"/>
        <v>0</v>
      </c>
      <c r="I349" s="131" t="s">
        <v>27</v>
      </c>
      <c r="J349" s="35">
        <f t="shared" si="172"/>
        <v>0</v>
      </c>
      <c r="K349" s="101">
        <v>99</v>
      </c>
      <c r="L349" s="132"/>
      <c r="M349" s="105"/>
      <c r="N349" s="33">
        <f t="shared" si="170"/>
        <v>97.1142857142857</v>
      </c>
      <c r="O349" s="133">
        <v>49.107</v>
      </c>
      <c r="P349" s="20"/>
      <c r="Q349" s="20"/>
      <c r="R349" s="20"/>
      <c r="S349" s="20"/>
      <c r="T349" s="20"/>
      <c r="U349" s="20"/>
      <c r="W349" s="2"/>
    </row>
    <row r="350" ht="15" hidden="1" customHeight="1" spans="2:25">
      <c r="B350" s="127">
        <f t="shared" si="171"/>
        <v>13</v>
      </c>
      <c r="C350" s="128" t="s">
        <v>211</v>
      </c>
      <c r="D350" s="101">
        <f t="shared" si="167"/>
        <v>46.01</v>
      </c>
      <c r="E350" s="129"/>
      <c r="F350" s="129"/>
      <c r="G350" s="130"/>
      <c r="H350" s="102">
        <f t="shared" si="169"/>
        <v>46.01</v>
      </c>
      <c r="I350" s="131" t="s">
        <v>27</v>
      </c>
      <c r="J350" s="35">
        <v>5056</v>
      </c>
      <c r="K350" s="101">
        <v>91</v>
      </c>
      <c r="L350" s="132"/>
      <c r="M350" s="105"/>
      <c r="N350" s="33">
        <f t="shared" si="170"/>
        <v>89.2666666666667</v>
      </c>
      <c r="O350" s="133">
        <v>279.035</v>
      </c>
      <c r="P350" s="20"/>
      <c r="Q350" s="20"/>
      <c r="R350" s="20"/>
      <c r="S350" s="20"/>
      <c r="T350" s="20"/>
      <c r="U350" s="20"/>
      <c r="W350" s="2"/>
    </row>
    <row r="351" s="87" customFormat="1" ht="15" hidden="1" customHeight="1" spans="2:25">
      <c r="B351" s="127">
        <f t="shared" si="171"/>
        <v>14</v>
      </c>
      <c r="C351" s="128" t="s">
        <v>212</v>
      </c>
      <c r="D351" s="101">
        <f t="shared" si="167"/>
        <v>0</v>
      </c>
      <c r="E351" s="129"/>
      <c r="F351" s="129"/>
      <c r="G351" s="130"/>
      <c r="H351" s="102">
        <f t="shared" si="169"/>
        <v>0</v>
      </c>
      <c r="I351" s="131" t="s">
        <v>27</v>
      </c>
      <c r="J351" s="35">
        <f t="shared" si="172"/>
        <v>0</v>
      </c>
      <c r="K351" s="101">
        <v>56</v>
      </c>
      <c r="L351" s="163"/>
      <c r="M351" s="161"/>
      <c r="N351" s="33">
        <f t="shared" si="170"/>
        <v>54.9333333333333</v>
      </c>
      <c r="O351" s="162">
        <v>6770.562</v>
      </c>
      <c r="P351" s="158"/>
      <c r="Q351" s="158"/>
      <c r="R351" s="158"/>
      <c r="S351" s="158"/>
      <c r="T351" s="158"/>
      <c r="U351" s="158"/>
      <c r="V351" s="159"/>
      <c r="X351" s="159"/>
      <c r="Y351" s="159"/>
    </row>
    <row r="352" s="87" customFormat="1" ht="15" hidden="1" customHeight="1" spans="2:25">
      <c r="B352" s="127">
        <f t="shared" si="171"/>
        <v>15</v>
      </c>
      <c r="C352" s="128" t="s">
        <v>213</v>
      </c>
      <c r="D352" s="101">
        <f t="shared" si="167"/>
        <v>22.74</v>
      </c>
      <c r="E352" s="129"/>
      <c r="F352" s="129"/>
      <c r="G352" s="130"/>
      <c r="H352" s="102">
        <f t="shared" si="169"/>
        <v>22.74</v>
      </c>
      <c r="I352" s="131" t="s">
        <v>27</v>
      </c>
      <c r="J352" s="35">
        <v>5289</v>
      </c>
      <c r="K352" s="101">
        <v>43</v>
      </c>
      <c r="L352" s="160"/>
      <c r="M352" s="161"/>
      <c r="N352" s="33">
        <f t="shared" si="170"/>
        <v>42.1809523809524</v>
      </c>
      <c r="O352" s="162">
        <v>7029.07</v>
      </c>
      <c r="P352" s="158"/>
      <c r="Q352" s="158"/>
      <c r="R352" s="158"/>
      <c r="S352" s="158"/>
      <c r="T352" s="158"/>
      <c r="U352" s="158"/>
      <c r="V352" s="159"/>
      <c r="X352" s="159"/>
      <c r="Y352" s="159"/>
    </row>
    <row r="353" s="87" customFormat="1" ht="15" hidden="1" customHeight="1" spans="2:25">
      <c r="B353" s="127">
        <f t="shared" si="171"/>
        <v>16</v>
      </c>
      <c r="C353" s="134" t="s">
        <v>214</v>
      </c>
      <c r="D353" s="101">
        <f t="shared" si="167"/>
        <v>59.24</v>
      </c>
      <c r="E353" s="129"/>
      <c r="F353" s="129"/>
      <c r="G353" s="130"/>
      <c r="H353" s="102">
        <f t="shared" si="169"/>
        <v>59.24</v>
      </c>
      <c r="I353" s="131" t="s">
        <v>27</v>
      </c>
      <c r="J353" s="35">
        <v>2064</v>
      </c>
      <c r="K353" s="101">
        <v>287</v>
      </c>
      <c r="L353" s="163"/>
      <c r="M353" s="161"/>
      <c r="N353" s="33">
        <f t="shared" si="170"/>
        <v>281.533333333333</v>
      </c>
      <c r="O353" s="162">
        <v>1</v>
      </c>
      <c r="P353" s="158"/>
      <c r="Q353" s="158"/>
      <c r="R353" s="158"/>
      <c r="S353" s="158"/>
      <c r="T353" s="158"/>
      <c r="U353" s="158"/>
      <c r="V353" s="159"/>
      <c r="X353" s="159"/>
      <c r="Y353" s="159"/>
    </row>
    <row r="354" ht="15" customHeight="1" spans="2:25">
      <c r="B354" s="127">
        <f t="shared" si="171"/>
        <v>17</v>
      </c>
      <c r="C354" s="128" t="s">
        <v>215</v>
      </c>
      <c r="D354" s="101">
        <f t="shared" si="167"/>
        <v>19.27</v>
      </c>
      <c r="E354" s="129"/>
      <c r="F354" s="129"/>
      <c r="G354" s="130"/>
      <c r="H354" s="102">
        <f t="shared" si="169"/>
        <v>19.27</v>
      </c>
      <c r="I354" s="131" t="s">
        <v>34</v>
      </c>
      <c r="J354" s="35">
        <v>711</v>
      </c>
      <c r="K354" s="101">
        <v>271</v>
      </c>
      <c r="L354" s="132"/>
      <c r="M354" s="105"/>
      <c r="N354" s="33">
        <f t="shared" si="170"/>
        <v>265.838095238095</v>
      </c>
      <c r="O354" s="133">
        <v>161.403</v>
      </c>
      <c r="P354" s="20"/>
      <c r="Q354" s="20"/>
      <c r="R354" s="20"/>
      <c r="S354" s="20"/>
      <c r="T354" s="20"/>
      <c r="U354" s="20"/>
      <c r="W354" s="2"/>
    </row>
    <row r="355" ht="15" customHeight="1" spans="2:25">
      <c r="B355" s="127">
        <f t="shared" si="171"/>
        <v>18</v>
      </c>
      <c r="C355" s="128" t="s">
        <v>216</v>
      </c>
      <c r="D355" s="101">
        <f t="shared" si="167"/>
        <v>5.02</v>
      </c>
      <c r="E355" s="129"/>
      <c r="F355" s="129"/>
      <c r="G355" s="130"/>
      <c r="H355" s="102">
        <f t="shared" si="169"/>
        <v>5.02</v>
      </c>
      <c r="I355" s="131" t="s">
        <v>34</v>
      </c>
      <c r="J355" s="35">
        <v>687</v>
      </c>
      <c r="K355" s="101">
        <v>73</v>
      </c>
      <c r="L355" s="132"/>
      <c r="M355" s="105"/>
      <c r="N355" s="33">
        <f t="shared" si="170"/>
        <v>71.6095238095238</v>
      </c>
      <c r="O355" s="133">
        <v>74.491</v>
      </c>
      <c r="P355" s="20"/>
      <c r="Q355" s="20"/>
      <c r="R355" s="20"/>
      <c r="S355" s="20"/>
      <c r="T355" s="20"/>
      <c r="U355" s="20"/>
      <c r="W355" s="2"/>
    </row>
    <row r="356" ht="15" hidden="1" customHeight="1" spans="2:25">
      <c r="B356" s="127">
        <f t="shared" si="171"/>
        <v>19</v>
      </c>
      <c r="C356" s="134" t="s">
        <v>217</v>
      </c>
      <c r="D356" s="101">
        <f t="shared" si="167"/>
        <v>0</v>
      </c>
      <c r="E356" s="129"/>
      <c r="F356" s="129"/>
      <c r="G356" s="130"/>
      <c r="H356" s="102">
        <f t="shared" si="169"/>
        <v>0</v>
      </c>
      <c r="I356" s="131" t="s">
        <v>119</v>
      </c>
      <c r="J356" s="35">
        <v>0</v>
      </c>
      <c r="K356" s="101">
        <v>1815</v>
      </c>
      <c r="L356" s="132"/>
      <c r="M356" s="105"/>
      <c r="N356" s="33">
        <f t="shared" si="170"/>
        <v>1780.42857142857</v>
      </c>
      <c r="O356" s="133">
        <v>280.33</v>
      </c>
      <c r="P356" s="20"/>
      <c r="Q356" s="20"/>
      <c r="R356" s="20"/>
      <c r="S356" s="20"/>
      <c r="T356" s="20"/>
      <c r="U356" s="20"/>
      <c r="W356" s="2"/>
    </row>
    <row r="357" ht="15" hidden="1" customHeight="1" spans="2:25">
      <c r="B357" s="127">
        <f t="shared" si="171"/>
        <v>20</v>
      </c>
      <c r="C357" s="134" t="s">
        <v>218</v>
      </c>
      <c r="D357" s="101">
        <f t="shared" si="167"/>
        <v>5.57</v>
      </c>
      <c r="E357" s="129"/>
      <c r="F357" s="129"/>
      <c r="G357" s="130"/>
      <c r="H357" s="102">
        <f t="shared" si="169"/>
        <v>5.57</v>
      </c>
      <c r="I357" s="131" t="s">
        <v>119</v>
      </c>
      <c r="J357" s="35">
        <v>20</v>
      </c>
      <c r="K357" s="101">
        <v>2783</v>
      </c>
      <c r="L357" s="132"/>
      <c r="M357" s="105"/>
      <c r="N357" s="33">
        <f t="shared" si="170"/>
        <v>2729.99047619048</v>
      </c>
      <c r="O357" s="133">
        <v>1838</v>
      </c>
      <c r="P357" s="20"/>
      <c r="Q357" s="20"/>
      <c r="R357" s="20"/>
      <c r="S357" s="20"/>
      <c r="T357" s="20"/>
      <c r="U357" s="20"/>
      <c r="W357" s="2"/>
    </row>
    <row r="358" ht="15" hidden="1" customHeight="1" spans="2:25">
      <c r="B358" s="127">
        <f t="shared" si="171"/>
        <v>21</v>
      </c>
      <c r="C358" s="134" t="s">
        <v>219</v>
      </c>
      <c r="D358" s="101">
        <f t="shared" si="167"/>
        <v>6.27</v>
      </c>
      <c r="E358" s="129"/>
      <c r="F358" s="129"/>
      <c r="G358" s="130"/>
      <c r="H358" s="102">
        <f t="shared" si="169"/>
        <v>6.27</v>
      </c>
      <c r="I358" s="131" t="s">
        <v>119</v>
      </c>
      <c r="J358" s="35">
        <v>25</v>
      </c>
      <c r="K358" s="101">
        <v>2506</v>
      </c>
      <c r="L358" s="132"/>
      <c r="M358" s="105"/>
      <c r="N358" s="33">
        <f t="shared" si="170"/>
        <v>2458.26666666667</v>
      </c>
      <c r="O358" s="133">
        <v>2823.25</v>
      </c>
      <c r="P358" s="20"/>
      <c r="Q358" s="20"/>
      <c r="R358" s="20"/>
      <c r="S358" s="20"/>
      <c r="T358" s="20"/>
      <c r="U358" s="20"/>
      <c r="W358" s="2"/>
    </row>
    <row r="359" s="83" customFormat="1" ht="15" hidden="1" customHeight="1" spans="2:25">
      <c r="B359" s="135" t="s">
        <v>45</v>
      </c>
      <c r="C359" s="136" t="s">
        <v>68</v>
      </c>
      <c r="D359" s="137">
        <f t="shared" ref="D359:H359" si="173">SUM(D360:D363)</f>
        <v>386.29</v>
      </c>
      <c r="E359" s="137">
        <f t="shared" si="173"/>
        <v>0</v>
      </c>
      <c r="F359" s="137">
        <f t="shared" si="173"/>
        <v>0</v>
      </c>
      <c r="G359" s="137">
        <f t="shared" si="173"/>
        <v>0</v>
      </c>
      <c r="H359" s="137">
        <f t="shared" si="173"/>
        <v>386.29</v>
      </c>
      <c r="I359" s="138" t="s">
        <v>17</v>
      </c>
      <c r="J359" s="137">
        <f>J333</f>
        <v>0.375</v>
      </c>
      <c r="K359" s="139">
        <f>H359/J359*10000</f>
        <v>10301066.6666667</v>
      </c>
      <c r="L359" s="140"/>
      <c r="M359" s="141"/>
      <c r="N359" s="142"/>
      <c r="O359" s="142"/>
      <c r="P359" s="119"/>
      <c r="Q359" s="119"/>
      <c r="R359" s="119"/>
      <c r="S359" s="119"/>
      <c r="T359" s="119"/>
      <c r="U359" s="119"/>
      <c r="V359" s="143"/>
      <c r="X359" s="120"/>
      <c r="Y359" s="120"/>
    </row>
    <row r="360" s="83" customFormat="1" ht="15" customHeight="1" spans="2:25">
      <c r="B360" s="121">
        <v>1</v>
      </c>
      <c r="C360" s="144" t="s">
        <v>300</v>
      </c>
      <c r="D360" s="110">
        <f t="shared" ref="D360:D363" si="174">ROUND(J360*K360/10000,2)</f>
        <v>335.8</v>
      </c>
      <c r="E360" s="123"/>
      <c r="F360" s="123"/>
      <c r="G360" s="124"/>
      <c r="H360" s="113">
        <f t="shared" ref="H360:H363" si="175">SUM(D360:G360)</f>
        <v>335.8</v>
      </c>
      <c r="I360" s="125" t="s">
        <v>34</v>
      </c>
      <c r="J360" s="114">
        <v>400</v>
      </c>
      <c r="K360" s="110">
        <f>(7806+8984)/2</f>
        <v>8395</v>
      </c>
      <c r="L360" s="126"/>
      <c r="M360" s="116"/>
      <c r="N360" s="117">
        <f t="shared" ref="N360:N368" si="176">K360/1.05*1.03</f>
        <v>8235.09523809524</v>
      </c>
      <c r="O360" s="118">
        <v>1109.474</v>
      </c>
      <c r="P360" s="119"/>
      <c r="Q360" s="119"/>
      <c r="R360" s="119"/>
      <c r="S360" s="119"/>
      <c r="T360" s="119"/>
      <c r="U360" s="119"/>
      <c r="V360" s="120"/>
      <c r="X360" s="120"/>
      <c r="Y360" s="120"/>
    </row>
    <row r="361" s="83" customFormat="1" ht="15" customHeight="1" spans="2:25">
      <c r="B361" s="121">
        <v>2</v>
      </c>
      <c r="C361" s="144" t="s">
        <v>224</v>
      </c>
      <c r="D361" s="110">
        <f t="shared" si="174"/>
        <v>21.69</v>
      </c>
      <c r="E361" s="123"/>
      <c r="F361" s="123"/>
      <c r="G361" s="124"/>
      <c r="H361" s="113">
        <f t="shared" si="175"/>
        <v>21.69</v>
      </c>
      <c r="I361" s="125" t="s">
        <v>34</v>
      </c>
      <c r="J361" s="114">
        <v>300</v>
      </c>
      <c r="K361" s="110">
        <v>723</v>
      </c>
      <c r="L361" s="126"/>
      <c r="M361" s="116"/>
      <c r="N361" s="117">
        <f t="shared" si="176"/>
        <v>709.228571428571</v>
      </c>
      <c r="O361" s="118">
        <v>2842.898</v>
      </c>
      <c r="P361" s="119"/>
      <c r="Q361" s="119"/>
      <c r="R361" s="119"/>
      <c r="S361" s="119"/>
      <c r="T361" s="119"/>
      <c r="U361" s="119"/>
      <c r="V361" s="120"/>
      <c r="X361" s="120"/>
      <c r="Y361" s="120"/>
    </row>
    <row r="362" s="83" customFormat="1" ht="15" hidden="1" customHeight="1" spans="2:25">
      <c r="B362" s="121">
        <v>3</v>
      </c>
      <c r="C362" s="144" t="s">
        <v>272</v>
      </c>
      <c r="D362" s="110">
        <f t="shared" si="174"/>
        <v>24</v>
      </c>
      <c r="E362" s="123"/>
      <c r="F362" s="123"/>
      <c r="G362" s="124"/>
      <c r="H362" s="113">
        <f t="shared" si="175"/>
        <v>24</v>
      </c>
      <c r="I362" s="125" t="s">
        <v>119</v>
      </c>
      <c r="J362" s="114">
        <v>15</v>
      </c>
      <c r="K362" s="110">
        <v>16000</v>
      </c>
      <c r="L362" s="126"/>
      <c r="M362" s="116"/>
      <c r="N362" s="117">
        <f t="shared" si="176"/>
        <v>15695.2380952381</v>
      </c>
      <c r="O362" s="118">
        <v>1642.779</v>
      </c>
      <c r="P362" s="119"/>
      <c r="Q362" s="119"/>
      <c r="R362" s="119"/>
      <c r="S362" s="119"/>
      <c r="T362" s="119"/>
      <c r="U362" s="119"/>
      <c r="V362" s="120"/>
      <c r="X362" s="120"/>
      <c r="Y362" s="120"/>
    </row>
    <row r="363" s="83" customFormat="1" ht="15" hidden="1" customHeight="1" spans="2:25">
      <c r="B363" s="121">
        <v>4</v>
      </c>
      <c r="C363" s="144" t="s">
        <v>228</v>
      </c>
      <c r="D363" s="110">
        <f t="shared" si="174"/>
        <v>4.8</v>
      </c>
      <c r="E363" s="123"/>
      <c r="F363" s="123"/>
      <c r="G363" s="124"/>
      <c r="H363" s="113">
        <f t="shared" si="175"/>
        <v>4.8</v>
      </c>
      <c r="I363" s="125" t="s">
        <v>119</v>
      </c>
      <c r="J363" s="114">
        <v>30</v>
      </c>
      <c r="K363" s="110">
        <v>1600</v>
      </c>
      <c r="L363" s="126"/>
      <c r="M363" s="116"/>
      <c r="N363" s="117">
        <f t="shared" si="176"/>
        <v>1569.52380952381</v>
      </c>
      <c r="O363" s="118">
        <v>237.666</v>
      </c>
      <c r="P363" s="119"/>
      <c r="Q363" s="119"/>
      <c r="R363" s="119"/>
      <c r="S363" s="119"/>
      <c r="T363" s="119"/>
      <c r="U363" s="119"/>
      <c r="V363" s="120"/>
      <c r="X363" s="120"/>
      <c r="Y363" s="120"/>
    </row>
    <row r="364" s="83" customFormat="1" ht="15" hidden="1" customHeight="1" spans="2:25">
      <c r="B364" s="135" t="s">
        <v>59</v>
      </c>
      <c r="C364" s="136" t="s">
        <v>73</v>
      </c>
      <c r="D364" s="137">
        <f t="shared" ref="D364:H364" si="177">SUM(D365:D368)</f>
        <v>120.99</v>
      </c>
      <c r="E364" s="137">
        <f t="shared" si="177"/>
        <v>0</v>
      </c>
      <c r="F364" s="137">
        <f t="shared" si="177"/>
        <v>0</v>
      </c>
      <c r="G364" s="137">
        <f t="shared" si="177"/>
        <v>0</v>
      </c>
      <c r="H364" s="137">
        <f t="shared" si="177"/>
        <v>120.99</v>
      </c>
      <c r="I364" s="138" t="s">
        <v>17</v>
      </c>
      <c r="J364" s="137">
        <f>J359</f>
        <v>0.375</v>
      </c>
      <c r="K364" s="139">
        <f>H364/J364*10000</f>
        <v>3226400</v>
      </c>
      <c r="L364" s="140"/>
      <c r="M364" s="116"/>
      <c r="N364" s="117">
        <f t="shared" si="176"/>
        <v>3164944.76190476</v>
      </c>
      <c r="O364" s="118">
        <v>375.908</v>
      </c>
      <c r="P364" s="119"/>
      <c r="Q364" s="119"/>
      <c r="R364" s="119"/>
      <c r="S364" s="119"/>
      <c r="T364" s="119"/>
      <c r="U364" s="119"/>
      <c r="V364" s="120"/>
      <c r="X364" s="120"/>
      <c r="Y364" s="120"/>
    </row>
    <row r="365" s="83" customFormat="1" ht="15" customHeight="1" spans="2:25">
      <c r="B365" s="121">
        <v>1</v>
      </c>
      <c r="C365" s="144" t="s">
        <v>229</v>
      </c>
      <c r="D365" s="110">
        <f t="shared" ref="D365:D368" si="178">ROUND(J365*K365/10000,2)</f>
        <v>108.24</v>
      </c>
      <c r="E365" s="123"/>
      <c r="F365" s="123"/>
      <c r="G365" s="124"/>
      <c r="H365" s="113">
        <f t="shared" ref="H365:H368" si="179">SUM(D365:G365)</f>
        <v>108.24</v>
      </c>
      <c r="I365" s="125" t="s">
        <v>34</v>
      </c>
      <c r="J365" s="114">
        <v>400</v>
      </c>
      <c r="K365" s="110">
        <v>2706</v>
      </c>
      <c r="L365" s="126"/>
      <c r="M365" s="116"/>
      <c r="N365" s="117">
        <f t="shared" si="176"/>
        <v>2654.45714285714</v>
      </c>
      <c r="O365" s="118">
        <v>1832.071</v>
      </c>
      <c r="P365" s="119"/>
      <c r="Q365" s="119"/>
      <c r="R365" s="119"/>
      <c r="S365" s="119"/>
      <c r="T365" s="119"/>
      <c r="U365" s="119"/>
      <c r="V365" s="120"/>
      <c r="X365" s="120"/>
      <c r="Y365" s="120"/>
    </row>
    <row r="366" s="83" customFormat="1" ht="15" hidden="1" customHeight="1" spans="2:25">
      <c r="B366" s="121">
        <v>2</v>
      </c>
      <c r="C366" s="144" t="s">
        <v>232</v>
      </c>
      <c r="D366" s="110">
        <f t="shared" si="178"/>
        <v>12.75</v>
      </c>
      <c r="E366" s="123"/>
      <c r="F366" s="123"/>
      <c r="G366" s="124"/>
      <c r="H366" s="113">
        <f t="shared" si="179"/>
        <v>12.75</v>
      </c>
      <c r="I366" s="125" t="s">
        <v>119</v>
      </c>
      <c r="J366" s="114">
        <v>15</v>
      </c>
      <c r="K366" s="110">
        <v>8500</v>
      </c>
      <c r="L366" s="126"/>
      <c r="M366" s="116"/>
      <c r="N366" s="117">
        <f t="shared" si="176"/>
        <v>8338.09523809524</v>
      </c>
      <c r="O366" s="118">
        <v>13041.4414414414</v>
      </c>
      <c r="P366" s="119"/>
      <c r="Q366" s="119"/>
      <c r="R366" s="119"/>
      <c r="S366" s="119"/>
      <c r="T366" s="119"/>
      <c r="U366" s="119"/>
      <c r="V366" s="120"/>
      <c r="X366" s="120"/>
      <c r="Y366" s="120"/>
    </row>
    <row r="367" s="83" customFormat="1" ht="15" hidden="1" customHeight="1" spans="2:25">
      <c r="B367" s="121">
        <v>3</v>
      </c>
      <c r="C367" s="144" t="s">
        <v>299</v>
      </c>
      <c r="D367" s="110">
        <f t="shared" si="178"/>
        <v>0</v>
      </c>
      <c r="E367" s="123"/>
      <c r="F367" s="123"/>
      <c r="G367" s="124"/>
      <c r="H367" s="113">
        <f t="shared" si="179"/>
        <v>0</v>
      </c>
      <c r="I367" s="125" t="s">
        <v>276</v>
      </c>
      <c r="J367" s="114">
        <v>0</v>
      </c>
      <c r="K367" s="110">
        <v>5286</v>
      </c>
      <c r="L367" s="126"/>
      <c r="M367" s="116"/>
      <c r="N367" s="117">
        <f t="shared" si="176"/>
        <v>5185.31428571429</v>
      </c>
      <c r="O367" s="118">
        <v>1046.23</v>
      </c>
      <c r="P367" s="119"/>
      <c r="Q367" s="119"/>
      <c r="R367" s="119"/>
      <c r="S367" s="119"/>
      <c r="T367" s="119"/>
      <c r="U367" s="119"/>
      <c r="V367" s="120"/>
      <c r="X367" s="120"/>
      <c r="Y367" s="120"/>
    </row>
    <row r="368" s="83" customFormat="1" ht="15" customHeight="1" spans="2:25">
      <c r="B368" s="121">
        <v>4</v>
      </c>
      <c r="C368" s="144" t="s">
        <v>301</v>
      </c>
      <c r="D368" s="110">
        <f t="shared" si="178"/>
        <v>0</v>
      </c>
      <c r="E368" s="123"/>
      <c r="F368" s="123"/>
      <c r="G368" s="124"/>
      <c r="H368" s="113">
        <f t="shared" si="179"/>
        <v>0</v>
      </c>
      <c r="I368" s="125" t="s">
        <v>34</v>
      </c>
      <c r="J368" s="114">
        <v>0</v>
      </c>
      <c r="K368" s="110">
        <v>3736</v>
      </c>
      <c r="L368" s="126"/>
      <c r="M368" s="116"/>
      <c r="N368" s="117">
        <f t="shared" si="176"/>
        <v>3664.8380952381</v>
      </c>
      <c r="O368" s="118">
        <v>1518.193</v>
      </c>
      <c r="P368" s="119"/>
      <c r="Q368" s="119"/>
      <c r="R368" s="119"/>
      <c r="S368" s="119"/>
      <c r="T368" s="119"/>
      <c r="U368" s="119"/>
      <c r="V368" s="120"/>
      <c r="X368" s="120"/>
      <c r="Y368" s="120"/>
    </row>
    <row r="369" s="83" customFormat="1" ht="15" hidden="1" customHeight="1" spans="1:25">
      <c r="B369" s="135" t="s">
        <v>63</v>
      </c>
      <c r="C369" s="136" t="s">
        <v>64</v>
      </c>
      <c r="D369" s="137">
        <f t="shared" ref="D369:H369" si="180">SUM(D370:D374)</f>
        <v>38.3</v>
      </c>
      <c r="E369" s="137">
        <f t="shared" si="180"/>
        <v>0</v>
      </c>
      <c r="F369" s="137">
        <f t="shared" si="180"/>
        <v>0</v>
      </c>
      <c r="G369" s="137">
        <f t="shared" si="180"/>
        <v>0</v>
      </c>
      <c r="H369" s="137">
        <f t="shared" si="180"/>
        <v>38.3</v>
      </c>
      <c r="I369" s="138" t="s">
        <v>17</v>
      </c>
      <c r="J369" s="137">
        <f>J364</f>
        <v>0.375</v>
      </c>
      <c r="K369" s="139">
        <f>H369/J369*10000</f>
        <v>1021333.33333333</v>
      </c>
      <c r="L369" s="140"/>
      <c r="M369" s="116"/>
      <c r="N369" s="117"/>
      <c r="O369" s="118"/>
      <c r="P369" s="119"/>
      <c r="Q369" s="119"/>
      <c r="R369" s="119"/>
      <c r="S369" s="119"/>
      <c r="T369" s="119"/>
      <c r="U369" s="119"/>
      <c r="V369" s="120"/>
      <c r="X369" s="120"/>
      <c r="Y369" s="120"/>
    </row>
    <row r="370" s="2" customFormat="1" ht="15" customHeight="1" spans="1:25">
      <c r="A370" s="83"/>
      <c r="B370" s="127">
        <v>1</v>
      </c>
      <c r="C370" s="134" t="s">
        <v>302</v>
      </c>
      <c r="D370" s="101">
        <f t="shared" ref="D370:D374" si="181">ROUND(J370*K370/10000,2)</f>
        <v>28.62</v>
      </c>
      <c r="E370" s="129"/>
      <c r="F370" s="129"/>
      <c r="G370" s="130"/>
      <c r="H370" s="102">
        <f t="shared" ref="H370:H374" si="182">SUM(D370:G370)</f>
        <v>28.62</v>
      </c>
      <c r="I370" s="131" t="s">
        <v>34</v>
      </c>
      <c r="J370" s="35">
        <v>450</v>
      </c>
      <c r="K370" s="101">
        <v>636</v>
      </c>
      <c r="L370" s="132"/>
      <c r="M370" s="105"/>
      <c r="N370" s="117">
        <f t="shared" ref="N370:N372" si="183">K370/1.05*1.03</f>
        <v>623.885714285714</v>
      </c>
      <c r="O370" s="118">
        <v>6880.275</v>
      </c>
      <c r="P370" s="20"/>
      <c r="Q370" s="20"/>
      <c r="R370" s="20"/>
      <c r="S370" s="20"/>
      <c r="T370" s="20"/>
      <c r="U370" s="20"/>
      <c r="V370" s="6"/>
      <c r="X370" s="6"/>
      <c r="Y370" s="6"/>
    </row>
    <row r="371" s="83" customFormat="1" ht="15" hidden="1" customHeight="1" spans="1:25">
      <c r="B371" s="121">
        <f t="shared" ref="B371:B374" si="184">B370+1</f>
        <v>2</v>
      </c>
      <c r="C371" s="144" t="s">
        <v>303</v>
      </c>
      <c r="D371" s="110">
        <f t="shared" si="181"/>
        <v>2.57</v>
      </c>
      <c r="E371" s="123"/>
      <c r="F371" s="123"/>
      <c r="G371" s="124"/>
      <c r="H371" s="113">
        <f t="shared" si="182"/>
        <v>2.57</v>
      </c>
      <c r="I371" s="125" t="s">
        <v>119</v>
      </c>
      <c r="J371" s="114">
        <v>4</v>
      </c>
      <c r="K371" s="110">
        <v>6419</v>
      </c>
      <c r="L371" s="126"/>
      <c r="M371" s="116"/>
      <c r="N371" s="117">
        <f t="shared" si="183"/>
        <v>6296.73333333333</v>
      </c>
      <c r="O371" s="118">
        <v>243.75</v>
      </c>
      <c r="P371" s="119"/>
      <c r="Q371" s="119"/>
      <c r="R371" s="119"/>
      <c r="S371" s="119"/>
      <c r="T371" s="119"/>
      <c r="U371" s="119"/>
      <c r="V371" s="120"/>
      <c r="X371" s="120"/>
      <c r="Y371" s="120"/>
    </row>
    <row r="372" s="83" customFormat="1" ht="15" hidden="1" customHeight="1" spans="1:25">
      <c r="B372" s="121">
        <f t="shared" si="184"/>
        <v>3</v>
      </c>
      <c r="C372" s="144" t="s">
        <v>235</v>
      </c>
      <c r="D372" s="110">
        <f t="shared" si="181"/>
        <v>5.7</v>
      </c>
      <c r="E372" s="123"/>
      <c r="F372" s="123"/>
      <c r="G372" s="124"/>
      <c r="H372" s="113">
        <f t="shared" si="182"/>
        <v>5.7</v>
      </c>
      <c r="I372" s="125" t="s">
        <v>119</v>
      </c>
      <c r="J372" s="114">
        <v>4</v>
      </c>
      <c r="K372" s="110">
        <v>14245</v>
      </c>
      <c r="L372" s="126"/>
      <c r="M372" s="116"/>
      <c r="N372" s="117">
        <f t="shared" si="183"/>
        <v>13973.6666666667</v>
      </c>
      <c r="O372" s="118">
        <v>470.07</v>
      </c>
      <c r="P372" s="119"/>
      <c r="Q372" s="119"/>
      <c r="R372" s="119"/>
      <c r="S372" s="119"/>
      <c r="T372" s="119"/>
      <c r="U372" s="119"/>
      <c r="V372" s="120"/>
      <c r="X372" s="120"/>
      <c r="Y372" s="120"/>
    </row>
    <row r="373" s="83" customFormat="1" ht="15" hidden="1" customHeight="1" spans="1:25">
      <c r="B373" s="121">
        <f t="shared" si="184"/>
        <v>4</v>
      </c>
      <c r="C373" s="144" t="s">
        <v>279</v>
      </c>
      <c r="D373" s="110">
        <f t="shared" si="181"/>
        <v>0.65</v>
      </c>
      <c r="E373" s="123"/>
      <c r="F373" s="123"/>
      <c r="G373" s="124"/>
      <c r="H373" s="113">
        <f t="shared" si="182"/>
        <v>0.65</v>
      </c>
      <c r="I373" s="125" t="s">
        <v>119</v>
      </c>
      <c r="J373" s="114">
        <v>1</v>
      </c>
      <c r="K373" s="110">
        <v>6509</v>
      </c>
      <c r="L373" s="126"/>
      <c r="M373" s="116"/>
      <c r="N373" s="117"/>
      <c r="O373" s="118"/>
      <c r="P373" s="119"/>
      <c r="Q373" s="119"/>
      <c r="R373" s="119"/>
      <c r="S373" s="119"/>
      <c r="T373" s="119"/>
      <c r="U373" s="119"/>
      <c r="V373" s="120"/>
      <c r="X373" s="120"/>
      <c r="Y373" s="120"/>
    </row>
    <row r="374" s="83" customFormat="1" ht="15" hidden="1" customHeight="1" spans="1:25">
      <c r="B374" s="121">
        <f t="shared" si="184"/>
        <v>5</v>
      </c>
      <c r="C374" s="144" t="s">
        <v>280</v>
      </c>
      <c r="D374" s="110">
        <f t="shared" si="181"/>
        <v>0.76</v>
      </c>
      <c r="E374" s="123"/>
      <c r="F374" s="123"/>
      <c r="G374" s="124"/>
      <c r="H374" s="113">
        <f t="shared" si="182"/>
        <v>0.76</v>
      </c>
      <c r="I374" s="125" t="s">
        <v>119</v>
      </c>
      <c r="J374" s="114">
        <v>1</v>
      </c>
      <c r="K374" s="110">
        <v>7616</v>
      </c>
      <c r="L374" s="126"/>
      <c r="M374" s="116"/>
      <c r="N374" s="117"/>
      <c r="O374" s="118"/>
      <c r="P374" s="119"/>
      <c r="Q374" s="119"/>
      <c r="R374" s="119"/>
      <c r="S374" s="119"/>
      <c r="T374" s="119"/>
      <c r="U374" s="119"/>
      <c r="V374" s="120"/>
      <c r="X374" s="120"/>
      <c r="Y374" s="120"/>
    </row>
    <row r="375" s="86" customFormat="1" ht="15" hidden="1" customHeight="1" spans="1:25">
      <c r="B375" s="96" t="s">
        <v>67</v>
      </c>
      <c r="C375" s="26" t="s">
        <v>85</v>
      </c>
      <c r="D375" s="27">
        <f t="shared" ref="D375:H375" si="185">SUM(D376:D381)</f>
        <v>121.48</v>
      </c>
      <c r="E375" s="27">
        <f t="shared" si="185"/>
        <v>0</v>
      </c>
      <c r="F375" s="27">
        <f t="shared" si="185"/>
        <v>0</v>
      </c>
      <c r="G375" s="27">
        <f t="shared" si="185"/>
        <v>0</v>
      </c>
      <c r="H375" s="27">
        <f t="shared" si="185"/>
        <v>121.48</v>
      </c>
      <c r="I375" s="28" t="s">
        <v>17</v>
      </c>
      <c r="J375" s="27">
        <f>J369</f>
        <v>0.375</v>
      </c>
      <c r="K375" s="29">
        <f>H375/J375*10000</f>
        <v>3239466.66666667</v>
      </c>
      <c r="L375" s="107"/>
      <c r="M375" s="97"/>
      <c r="N375" s="32"/>
      <c r="O375" s="32"/>
      <c r="P375" s="20"/>
      <c r="Q375" s="20"/>
      <c r="R375" s="20"/>
      <c r="S375" s="20"/>
      <c r="T375" s="20"/>
      <c r="U375" s="20"/>
      <c r="V375" s="6"/>
      <c r="W375" s="2"/>
      <c r="X375" s="146"/>
      <c r="Y375" s="146"/>
    </row>
    <row r="376" ht="15" customHeight="1" spans="1:25">
      <c r="B376" s="127">
        <v>1</v>
      </c>
      <c r="C376" s="134" t="s">
        <v>238</v>
      </c>
      <c r="D376" s="101">
        <f t="shared" ref="D376:D381" si="186">ROUND(J376*K376/10000,2)</f>
        <v>62.57</v>
      </c>
      <c r="E376" s="129"/>
      <c r="F376" s="129"/>
      <c r="G376" s="130"/>
      <c r="H376" s="102">
        <f t="shared" ref="H376:H381" si="187">SUM(D376:G376)</f>
        <v>62.57</v>
      </c>
      <c r="I376" s="131" t="s">
        <v>34</v>
      </c>
      <c r="J376" s="35">
        <v>370</v>
      </c>
      <c r="K376" s="101">
        <v>1691</v>
      </c>
      <c r="L376" s="132"/>
      <c r="M376" s="105"/>
      <c r="N376" s="33">
        <f t="shared" ref="N376:N381" si="188">K376/1.05*1.03</f>
        <v>1658.79047619048</v>
      </c>
      <c r="O376" s="133">
        <v>2823.25</v>
      </c>
      <c r="P376" s="20"/>
      <c r="Q376" s="20"/>
      <c r="R376" s="20"/>
      <c r="S376" s="20"/>
      <c r="T376" s="20"/>
      <c r="U376" s="20"/>
      <c r="W376" s="2"/>
    </row>
    <row r="377" ht="15" customHeight="1" spans="1:25">
      <c r="B377" s="127">
        <f t="shared" ref="B377:B381" si="189">B376+1</f>
        <v>2</v>
      </c>
      <c r="C377" s="134" t="s">
        <v>239</v>
      </c>
      <c r="D377" s="101">
        <f t="shared" si="186"/>
        <v>16.58</v>
      </c>
      <c r="E377" s="129"/>
      <c r="F377" s="129"/>
      <c r="G377" s="130"/>
      <c r="H377" s="102">
        <f t="shared" si="187"/>
        <v>16.58</v>
      </c>
      <c r="I377" s="131" t="s">
        <v>34</v>
      </c>
      <c r="J377" s="35">
        <v>75</v>
      </c>
      <c r="K377" s="101">
        <v>2211</v>
      </c>
      <c r="L377" s="132"/>
      <c r="M377" s="105"/>
      <c r="N377" s="33">
        <f t="shared" si="188"/>
        <v>2168.88571428571</v>
      </c>
      <c r="O377" s="133">
        <v>2823.25</v>
      </c>
      <c r="P377" s="20"/>
      <c r="Q377" s="20"/>
      <c r="R377" s="20"/>
      <c r="S377" s="20"/>
      <c r="T377" s="20"/>
      <c r="U377" s="20"/>
      <c r="W377" s="2"/>
    </row>
    <row r="378" ht="15" hidden="1" customHeight="1" spans="1:25">
      <c r="B378" s="127">
        <f t="shared" si="189"/>
        <v>3</v>
      </c>
      <c r="C378" s="134" t="s">
        <v>240</v>
      </c>
      <c r="D378" s="101">
        <f t="shared" si="186"/>
        <v>31.47</v>
      </c>
      <c r="E378" s="129"/>
      <c r="F378" s="129"/>
      <c r="G378" s="130"/>
      <c r="H378" s="102">
        <f t="shared" si="187"/>
        <v>31.47</v>
      </c>
      <c r="I378" s="131" t="s">
        <v>119</v>
      </c>
      <c r="J378" s="35">
        <v>13</v>
      </c>
      <c r="K378" s="101">
        <v>24211</v>
      </c>
      <c r="L378" s="132"/>
      <c r="M378" s="105"/>
      <c r="N378" s="33">
        <f t="shared" si="188"/>
        <v>23749.8380952381</v>
      </c>
      <c r="O378" s="133">
        <v>2823.25</v>
      </c>
      <c r="P378" s="20"/>
      <c r="Q378" s="20"/>
      <c r="R378" s="20"/>
      <c r="S378" s="20"/>
      <c r="T378" s="20"/>
      <c r="U378" s="20"/>
      <c r="W378" s="2"/>
    </row>
    <row r="379" ht="15" hidden="1" customHeight="1" spans="1:25">
      <c r="B379" s="127">
        <f t="shared" si="189"/>
        <v>4</v>
      </c>
      <c r="C379" s="134" t="s">
        <v>241</v>
      </c>
      <c r="D379" s="101">
        <f t="shared" si="186"/>
        <v>7.26</v>
      </c>
      <c r="E379" s="129"/>
      <c r="F379" s="129"/>
      <c r="G379" s="130"/>
      <c r="H379" s="102">
        <f t="shared" si="187"/>
        <v>7.26</v>
      </c>
      <c r="I379" s="131" t="s">
        <v>119</v>
      </c>
      <c r="J379" s="35">
        <v>3</v>
      </c>
      <c r="K379" s="101">
        <v>24211</v>
      </c>
      <c r="L379" s="132"/>
      <c r="M379" s="105"/>
      <c r="N379" s="33">
        <f t="shared" si="188"/>
        <v>23749.8380952381</v>
      </c>
      <c r="O379" s="133">
        <v>2823.25</v>
      </c>
      <c r="P379" s="20"/>
      <c r="Q379" s="20"/>
      <c r="R379" s="20"/>
      <c r="S379" s="20"/>
      <c r="T379" s="20"/>
      <c r="U379" s="20"/>
      <c r="W379" s="2"/>
    </row>
    <row r="380" ht="15" customHeight="1" spans="1:25">
      <c r="B380" s="127">
        <f t="shared" si="189"/>
        <v>5</v>
      </c>
      <c r="C380" s="134" t="s">
        <v>242</v>
      </c>
      <c r="D380" s="101">
        <f t="shared" si="186"/>
        <v>2.67</v>
      </c>
      <c r="E380" s="129"/>
      <c r="F380" s="129"/>
      <c r="G380" s="130"/>
      <c r="H380" s="102">
        <f t="shared" si="187"/>
        <v>2.67</v>
      </c>
      <c r="I380" s="131" t="s">
        <v>34</v>
      </c>
      <c r="J380" s="35">
        <v>890</v>
      </c>
      <c r="K380" s="101">
        <v>30</v>
      </c>
      <c r="L380" s="132"/>
      <c r="M380" s="105"/>
      <c r="N380" s="33">
        <f t="shared" si="188"/>
        <v>29.4285714285714</v>
      </c>
      <c r="O380" s="133">
        <v>2823.25</v>
      </c>
      <c r="P380" s="20"/>
      <c r="Q380" s="20"/>
      <c r="R380" s="20"/>
      <c r="S380" s="20"/>
      <c r="T380" s="20"/>
      <c r="U380" s="20"/>
      <c r="W380" s="2"/>
    </row>
    <row r="381" ht="15" hidden="1" customHeight="1" spans="1:25">
      <c r="B381" s="127">
        <f t="shared" si="189"/>
        <v>6</v>
      </c>
      <c r="C381" s="134" t="s">
        <v>243</v>
      </c>
      <c r="D381" s="101">
        <f t="shared" si="186"/>
        <v>0.93</v>
      </c>
      <c r="E381" s="129"/>
      <c r="F381" s="129"/>
      <c r="G381" s="130"/>
      <c r="H381" s="102">
        <f t="shared" si="187"/>
        <v>0.93</v>
      </c>
      <c r="I381" s="131" t="s">
        <v>49</v>
      </c>
      <c r="J381" s="35">
        <v>64</v>
      </c>
      <c r="K381" s="101">
        <v>145</v>
      </c>
      <c r="L381" s="132"/>
      <c r="M381" s="105"/>
      <c r="N381" s="33">
        <f t="shared" si="188"/>
        <v>142.238095238095</v>
      </c>
      <c r="O381" s="133">
        <v>2823.25</v>
      </c>
      <c r="P381" s="20"/>
      <c r="Q381" s="20"/>
      <c r="R381" s="20"/>
      <c r="S381" s="20"/>
      <c r="T381" s="20"/>
      <c r="U381" s="20"/>
      <c r="W381" s="2"/>
    </row>
    <row r="382" s="86" customFormat="1" ht="15" hidden="1" customHeight="1" spans="1:25">
      <c r="B382" s="96" t="s">
        <v>72</v>
      </c>
      <c r="C382" s="26" t="s">
        <v>90</v>
      </c>
      <c r="D382" s="27">
        <f t="shared" ref="D382:H382" si="190">SUM(D383:D386)</f>
        <v>68.63</v>
      </c>
      <c r="E382" s="27">
        <f t="shared" si="190"/>
        <v>0</v>
      </c>
      <c r="F382" s="27">
        <f t="shared" si="190"/>
        <v>0</v>
      </c>
      <c r="G382" s="27">
        <f t="shared" si="190"/>
        <v>0</v>
      </c>
      <c r="H382" s="27">
        <f t="shared" si="190"/>
        <v>68.63</v>
      </c>
      <c r="I382" s="28" t="s">
        <v>17</v>
      </c>
      <c r="J382" s="27">
        <f>J375</f>
        <v>0.375</v>
      </c>
      <c r="K382" s="29">
        <f>H382/J382*10000</f>
        <v>1830133.33333333</v>
      </c>
      <c r="L382" s="107"/>
      <c r="M382" s="97"/>
      <c r="N382" s="32"/>
      <c r="O382" s="32"/>
      <c r="P382" s="20"/>
      <c r="Q382" s="20"/>
      <c r="R382" s="20"/>
      <c r="S382" s="20"/>
      <c r="T382" s="20"/>
      <c r="U382" s="20"/>
      <c r="V382" s="6"/>
      <c r="W382" s="2"/>
      <c r="X382" s="146"/>
      <c r="Y382" s="146"/>
    </row>
    <row r="383" ht="15" customHeight="1" spans="1:25">
      <c r="B383" s="127">
        <v>1</v>
      </c>
      <c r="C383" s="134" t="s">
        <v>244</v>
      </c>
      <c r="D383" s="101">
        <f t="shared" ref="D383:D386" si="191">ROUND(J383*K383/10000,2)</f>
        <v>37.3</v>
      </c>
      <c r="E383" s="129"/>
      <c r="F383" s="129"/>
      <c r="G383" s="130"/>
      <c r="H383" s="102">
        <f t="shared" ref="H383:H386" si="192">SUM(D383:G383)</f>
        <v>37.3</v>
      </c>
      <c r="I383" s="131" t="s">
        <v>34</v>
      </c>
      <c r="J383" s="35">
        <v>370</v>
      </c>
      <c r="K383" s="101">
        <v>1008</v>
      </c>
      <c r="L383" s="132"/>
      <c r="M383" s="105"/>
      <c r="N383" s="33">
        <f t="shared" ref="N383:N386" si="193">K383/1.05*1.03</f>
        <v>988.8</v>
      </c>
      <c r="O383" s="133">
        <v>2823.25</v>
      </c>
      <c r="P383" s="20"/>
      <c r="Q383" s="20"/>
      <c r="R383" s="20"/>
      <c r="S383" s="20"/>
      <c r="T383" s="20"/>
      <c r="U383" s="20"/>
      <c r="W383" s="2"/>
    </row>
    <row r="384" ht="15" customHeight="1" spans="1:25">
      <c r="B384" s="127">
        <f t="shared" ref="B384:B386" si="194">B383+1</f>
        <v>2</v>
      </c>
      <c r="C384" s="134" t="s">
        <v>245</v>
      </c>
      <c r="D384" s="101">
        <f t="shared" si="191"/>
        <v>11.48</v>
      </c>
      <c r="E384" s="129"/>
      <c r="F384" s="129"/>
      <c r="G384" s="130"/>
      <c r="H384" s="102">
        <f t="shared" si="192"/>
        <v>11.48</v>
      </c>
      <c r="I384" s="131" t="s">
        <v>34</v>
      </c>
      <c r="J384" s="35">
        <v>75</v>
      </c>
      <c r="K384" s="101">
        <v>1531</v>
      </c>
      <c r="L384" s="132"/>
      <c r="M384" s="105"/>
      <c r="N384" s="33">
        <f t="shared" si="193"/>
        <v>1501.8380952381</v>
      </c>
      <c r="O384" s="133">
        <v>2823.25</v>
      </c>
      <c r="P384" s="20"/>
      <c r="Q384" s="20"/>
      <c r="R384" s="20"/>
      <c r="S384" s="20"/>
      <c r="T384" s="20"/>
      <c r="U384" s="20"/>
      <c r="W384" s="2"/>
    </row>
    <row r="385" ht="15" hidden="1" customHeight="1" spans="2:25">
      <c r="B385" s="127">
        <f t="shared" si="194"/>
        <v>3</v>
      </c>
      <c r="C385" s="134" t="s">
        <v>246</v>
      </c>
      <c r="D385" s="101">
        <f t="shared" si="191"/>
        <v>12.41</v>
      </c>
      <c r="E385" s="129"/>
      <c r="F385" s="129"/>
      <c r="G385" s="130"/>
      <c r="H385" s="102">
        <f t="shared" si="192"/>
        <v>12.41</v>
      </c>
      <c r="I385" s="131" t="s">
        <v>119</v>
      </c>
      <c r="J385" s="35">
        <v>7</v>
      </c>
      <c r="K385" s="101">
        <v>17733</v>
      </c>
      <c r="L385" s="132"/>
      <c r="M385" s="105"/>
      <c r="N385" s="33">
        <f t="shared" si="193"/>
        <v>17395.2285714286</v>
      </c>
      <c r="O385" s="133">
        <v>2823.25</v>
      </c>
      <c r="P385" s="20"/>
      <c r="Q385" s="20"/>
      <c r="R385" s="20"/>
      <c r="S385" s="20"/>
      <c r="T385" s="20"/>
      <c r="U385" s="20"/>
      <c r="W385" s="2"/>
    </row>
    <row r="386" ht="15" hidden="1" customHeight="1" spans="2:25">
      <c r="B386" s="127">
        <f t="shared" si="194"/>
        <v>4</v>
      </c>
      <c r="C386" s="134" t="s">
        <v>247</v>
      </c>
      <c r="D386" s="101">
        <f t="shared" si="191"/>
        <v>7.44</v>
      </c>
      <c r="E386" s="129"/>
      <c r="F386" s="129"/>
      <c r="G386" s="130"/>
      <c r="H386" s="102">
        <f t="shared" si="192"/>
        <v>7.44</v>
      </c>
      <c r="I386" s="131" t="s">
        <v>119</v>
      </c>
      <c r="J386" s="35">
        <v>3</v>
      </c>
      <c r="K386" s="101">
        <v>24793</v>
      </c>
      <c r="L386" s="132"/>
      <c r="M386" s="105"/>
      <c r="N386" s="33">
        <f t="shared" si="193"/>
        <v>24320.7523809524</v>
      </c>
      <c r="O386" s="133">
        <v>2823.25</v>
      </c>
      <c r="P386" s="20"/>
      <c r="Q386" s="20"/>
      <c r="R386" s="20"/>
      <c r="S386" s="20"/>
      <c r="T386" s="20"/>
      <c r="U386" s="20"/>
      <c r="W386" s="2"/>
    </row>
    <row r="387" s="86" customFormat="1" ht="15" hidden="1" customHeight="1" spans="2:25">
      <c r="B387" s="96" t="s">
        <v>79</v>
      </c>
      <c r="C387" s="26" t="s">
        <v>248</v>
      </c>
      <c r="D387" s="27">
        <f t="shared" ref="D387:H387" si="195">SUM(D388:D397)</f>
        <v>58.38</v>
      </c>
      <c r="E387" s="27">
        <f t="shared" si="195"/>
        <v>0</v>
      </c>
      <c r="F387" s="27">
        <f t="shared" si="195"/>
        <v>0</v>
      </c>
      <c r="G387" s="27">
        <f t="shared" si="195"/>
        <v>0</v>
      </c>
      <c r="H387" s="27">
        <f t="shared" si="195"/>
        <v>58.38</v>
      </c>
      <c r="I387" s="28" t="s">
        <v>17</v>
      </c>
      <c r="J387" s="27">
        <f>J382</f>
        <v>0.375</v>
      </c>
      <c r="K387" s="29">
        <f>H387/J387*10000</f>
        <v>1556800</v>
      </c>
      <c r="L387" s="107"/>
      <c r="M387" s="97"/>
      <c r="N387" s="32"/>
      <c r="O387" s="32"/>
      <c r="P387" s="20"/>
      <c r="Q387" s="20"/>
      <c r="R387" s="20"/>
      <c r="S387" s="20"/>
      <c r="T387" s="20"/>
      <c r="U387" s="20"/>
      <c r="V387" s="6"/>
      <c r="W387" s="2"/>
      <c r="X387" s="146"/>
      <c r="Y387" s="146"/>
    </row>
    <row r="388" ht="15" hidden="1" customHeight="1" spans="2:25">
      <c r="B388" s="127">
        <v>1</v>
      </c>
      <c r="C388" s="134" t="s">
        <v>291</v>
      </c>
      <c r="D388" s="101">
        <f t="shared" ref="D388:D397" si="196">ROUND(J388*K388/10000,2)</f>
        <v>22.41</v>
      </c>
      <c r="E388" s="129"/>
      <c r="F388" s="129"/>
      <c r="G388" s="130"/>
      <c r="H388" s="102">
        <f t="shared" ref="H388:H397" si="197">SUM(D388:G388)</f>
        <v>22.41</v>
      </c>
      <c r="I388" s="131" t="s">
        <v>52</v>
      </c>
      <c r="J388" s="35">
        <v>30</v>
      </c>
      <c r="K388" s="101">
        <v>7471</v>
      </c>
      <c r="L388" s="132"/>
      <c r="M388" s="105"/>
      <c r="N388" s="33">
        <f t="shared" ref="N388:N397" si="198">K388/1.05*1.03</f>
        <v>7328.69523809524</v>
      </c>
      <c r="O388" s="133">
        <v>2823.25</v>
      </c>
      <c r="P388" s="20"/>
      <c r="Q388" s="20"/>
      <c r="R388" s="20"/>
      <c r="S388" s="20"/>
      <c r="T388" s="20"/>
      <c r="U388" s="20"/>
      <c r="W388" s="2"/>
    </row>
    <row r="389" ht="15" hidden="1" customHeight="1" spans="2:25">
      <c r="B389" s="127">
        <f t="shared" ref="B389:B397" si="199">B388+1</f>
        <v>2</v>
      </c>
      <c r="C389" s="134" t="s">
        <v>250</v>
      </c>
      <c r="D389" s="101">
        <f t="shared" si="196"/>
        <v>4.71</v>
      </c>
      <c r="E389" s="129"/>
      <c r="F389" s="129"/>
      <c r="G389" s="130"/>
      <c r="H389" s="102">
        <f t="shared" si="197"/>
        <v>4.71</v>
      </c>
      <c r="I389" s="131" t="s">
        <v>52</v>
      </c>
      <c r="J389" s="35">
        <v>2</v>
      </c>
      <c r="K389" s="101">
        <v>23564</v>
      </c>
      <c r="L389" s="132"/>
      <c r="M389" s="105"/>
      <c r="N389" s="33">
        <f t="shared" si="198"/>
        <v>23115.1619047619</v>
      </c>
      <c r="O389" s="133">
        <v>2823.25</v>
      </c>
      <c r="P389" s="20"/>
      <c r="Q389" s="20"/>
      <c r="R389" s="20"/>
      <c r="S389" s="20"/>
      <c r="T389" s="20"/>
      <c r="U389" s="20"/>
      <c r="W389" s="2"/>
    </row>
    <row r="390" ht="15" hidden="1" customHeight="1" spans="2:25">
      <c r="B390" s="127">
        <f t="shared" si="199"/>
        <v>3</v>
      </c>
      <c r="C390" s="134" t="s">
        <v>251</v>
      </c>
      <c r="D390" s="101">
        <f t="shared" si="196"/>
        <v>0</v>
      </c>
      <c r="E390" s="129"/>
      <c r="F390" s="129"/>
      <c r="G390" s="130"/>
      <c r="H390" s="102">
        <f t="shared" si="197"/>
        <v>0</v>
      </c>
      <c r="I390" s="131" t="s">
        <v>252</v>
      </c>
      <c r="J390" s="35">
        <v>0</v>
      </c>
      <c r="K390" s="101">
        <v>177091</v>
      </c>
      <c r="L390" s="132"/>
      <c r="M390" s="105"/>
      <c r="N390" s="33">
        <f t="shared" si="198"/>
        <v>173717.838095238</v>
      </c>
      <c r="O390" s="133">
        <v>2823.25</v>
      </c>
      <c r="P390" s="20"/>
      <c r="Q390" s="20"/>
      <c r="R390" s="20"/>
      <c r="S390" s="20"/>
      <c r="T390" s="20"/>
      <c r="U390" s="20"/>
      <c r="W390" s="2"/>
    </row>
    <row r="391" ht="15" hidden="1" customHeight="1" spans="2:25">
      <c r="B391" s="127">
        <f t="shared" si="199"/>
        <v>4</v>
      </c>
      <c r="C391" s="134" t="s">
        <v>253</v>
      </c>
      <c r="D391" s="101">
        <f t="shared" si="196"/>
        <v>0</v>
      </c>
      <c r="E391" s="129"/>
      <c r="F391" s="129"/>
      <c r="G391" s="130"/>
      <c r="H391" s="102">
        <f t="shared" si="197"/>
        <v>0</v>
      </c>
      <c r="I391" s="131" t="s">
        <v>252</v>
      </c>
      <c r="J391" s="35">
        <v>0</v>
      </c>
      <c r="K391" s="101">
        <v>48762</v>
      </c>
      <c r="L391" s="132"/>
      <c r="M391" s="105"/>
      <c r="N391" s="33">
        <f t="shared" si="198"/>
        <v>47833.2</v>
      </c>
      <c r="O391" s="133">
        <v>2823.25</v>
      </c>
      <c r="P391" s="20"/>
      <c r="Q391" s="20"/>
      <c r="R391" s="20"/>
      <c r="S391" s="20"/>
      <c r="T391" s="20"/>
      <c r="U391" s="20"/>
      <c r="W391" s="2"/>
    </row>
    <row r="392" ht="15" hidden="1" customHeight="1" spans="2:25">
      <c r="B392" s="127">
        <f t="shared" si="199"/>
        <v>5</v>
      </c>
      <c r="C392" s="134" t="s">
        <v>254</v>
      </c>
      <c r="D392" s="101">
        <f t="shared" si="196"/>
        <v>3.26</v>
      </c>
      <c r="E392" s="129"/>
      <c r="F392" s="129"/>
      <c r="G392" s="130"/>
      <c r="H392" s="102">
        <f t="shared" si="197"/>
        <v>3.26</v>
      </c>
      <c r="I392" s="131" t="s">
        <v>119</v>
      </c>
      <c r="J392" s="35">
        <v>15</v>
      </c>
      <c r="K392" s="101">
        <v>2176</v>
      </c>
      <c r="L392" s="132"/>
      <c r="M392" s="105"/>
      <c r="N392" s="33">
        <f t="shared" si="198"/>
        <v>2134.55238095238</v>
      </c>
      <c r="O392" s="133">
        <v>2823.25</v>
      </c>
      <c r="P392" s="20"/>
      <c r="Q392" s="20"/>
      <c r="R392" s="20"/>
      <c r="S392" s="20"/>
      <c r="T392" s="20"/>
      <c r="U392" s="20"/>
      <c r="W392" s="2"/>
    </row>
    <row r="393" ht="15" customHeight="1" spans="2:25">
      <c r="B393" s="127">
        <f t="shared" si="199"/>
        <v>6</v>
      </c>
      <c r="C393" s="134" t="s">
        <v>255</v>
      </c>
      <c r="D393" s="101">
        <f t="shared" si="196"/>
        <v>15.31</v>
      </c>
      <c r="E393" s="129"/>
      <c r="F393" s="129"/>
      <c r="G393" s="130"/>
      <c r="H393" s="102">
        <f t="shared" si="197"/>
        <v>15.31</v>
      </c>
      <c r="I393" s="131" t="s">
        <v>34</v>
      </c>
      <c r="J393" s="35">
        <v>880</v>
      </c>
      <c r="K393" s="101">
        <v>174</v>
      </c>
      <c r="L393" s="132"/>
      <c r="M393" s="105"/>
      <c r="N393" s="33">
        <f t="shared" si="198"/>
        <v>170.685714285714</v>
      </c>
      <c r="O393" s="133">
        <v>2823.25</v>
      </c>
      <c r="P393" s="20"/>
      <c r="Q393" s="20"/>
      <c r="R393" s="20"/>
      <c r="S393" s="20"/>
      <c r="T393" s="20"/>
      <c r="U393" s="20"/>
      <c r="W393" s="2"/>
    </row>
    <row r="394" ht="15" customHeight="1" spans="2:25">
      <c r="B394" s="127">
        <f t="shared" si="199"/>
        <v>7</v>
      </c>
      <c r="C394" s="134" t="s">
        <v>256</v>
      </c>
      <c r="D394" s="101">
        <f t="shared" si="196"/>
        <v>9.28</v>
      </c>
      <c r="E394" s="129"/>
      <c r="F394" s="129"/>
      <c r="G394" s="130"/>
      <c r="H394" s="102">
        <f t="shared" si="197"/>
        <v>9.28</v>
      </c>
      <c r="I394" s="131" t="s">
        <v>34</v>
      </c>
      <c r="J394" s="35">
        <v>800</v>
      </c>
      <c r="K394" s="101">
        <v>116</v>
      </c>
      <c r="L394" s="132"/>
      <c r="M394" s="105"/>
      <c r="N394" s="33">
        <f t="shared" si="198"/>
        <v>113.790476190476</v>
      </c>
      <c r="O394" s="133">
        <v>2823.25</v>
      </c>
      <c r="P394" s="20"/>
      <c r="Q394" s="20"/>
      <c r="R394" s="20"/>
      <c r="S394" s="20"/>
      <c r="T394" s="20"/>
      <c r="U394" s="20"/>
      <c r="W394" s="2"/>
    </row>
    <row r="395" ht="15" hidden="1" customHeight="1" spans="2:25">
      <c r="B395" s="127">
        <f t="shared" si="199"/>
        <v>8</v>
      </c>
      <c r="C395" s="134" t="s">
        <v>257</v>
      </c>
      <c r="D395" s="101">
        <f t="shared" si="196"/>
        <v>2.5</v>
      </c>
      <c r="E395" s="129"/>
      <c r="F395" s="129"/>
      <c r="G395" s="130"/>
      <c r="H395" s="102">
        <f t="shared" si="197"/>
        <v>2.5</v>
      </c>
      <c r="I395" s="131" t="s">
        <v>49</v>
      </c>
      <c r="J395" s="35">
        <v>160</v>
      </c>
      <c r="K395" s="101">
        <v>156</v>
      </c>
      <c r="L395" s="132"/>
      <c r="M395" s="105"/>
      <c r="N395" s="33">
        <f t="shared" si="198"/>
        <v>153.028571428571</v>
      </c>
      <c r="O395" s="133">
        <v>2823.25</v>
      </c>
      <c r="P395" s="20"/>
      <c r="Q395" s="20"/>
      <c r="R395" s="20"/>
      <c r="S395" s="20"/>
      <c r="T395" s="20"/>
      <c r="U395" s="20"/>
      <c r="W395" s="2"/>
    </row>
    <row r="396" ht="15" customHeight="1" spans="2:25">
      <c r="B396" s="127">
        <f t="shared" si="199"/>
        <v>9</v>
      </c>
      <c r="C396" s="134" t="s">
        <v>258</v>
      </c>
      <c r="D396" s="101">
        <f t="shared" si="196"/>
        <v>0.27</v>
      </c>
      <c r="E396" s="129"/>
      <c r="F396" s="129"/>
      <c r="G396" s="130"/>
      <c r="H396" s="102">
        <f t="shared" si="197"/>
        <v>0.27</v>
      </c>
      <c r="I396" s="131" t="s">
        <v>34</v>
      </c>
      <c r="J396" s="35">
        <v>90</v>
      </c>
      <c r="K396" s="101">
        <v>30</v>
      </c>
      <c r="L396" s="132"/>
      <c r="M396" s="105"/>
      <c r="N396" s="33">
        <f t="shared" si="198"/>
        <v>29.4285714285714</v>
      </c>
      <c r="O396" s="133">
        <v>2823.25</v>
      </c>
      <c r="P396" s="20"/>
      <c r="Q396" s="20"/>
      <c r="R396" s="20"/>
      <c r="S396" s="20"/>
      <c r="T396" s="20"/>
      <c r="U396" s="20"/>
      <c r="W396" s="2"/>
    </row>
    <row r="397" ht="15" hidden="1" customHeight="1" spans="2:25">
      <c r="B397" s="127">
        <f t="shared" si="199"/>
        <v>10</v>
      </c>
      <c r="C397" s="134" t="s">
        <v>243</v>
      </c>
      <c r="D397" s="101">
        <f t="shared" si="196"/>
        <v>0.64</v>
      </c>
      <c r="E397" s="129"/>
      <c r="F397" s="129"/>
      <c r="G397" s="130"/>
      <c r="H397" s="102">
        <f t="shared" si="197"/>
        <v>0.64</v>
      </c>
      <c r="I397" s="131" t="s">
        <v>49</v>
      </c>
      <c r="J397" s="35">
        <v>44</v>
      </c>
      <c r="K397" s="101">
        <v>145</v>
      </c>
      <c r="L397" s="132"/>
      <c r="M397" s="105"/>
      <c r="N397" s="33">
        <f t="shared" si="198"/>
        <v>142.238095238095</v>
      </c>
      <c r="O397" s="133">
        <v>2823.25</v>
      </c>
      <c r="P397" s="20"/>
      <c r="Q397" s="20"/>
      <c r="R397" s="20"/>
      <c r="S397" s="20"/>
      <c r="T397" s="20"/>
      <c r="U397" s="20"/>
      <c r="W397" s="2"/>
    </row>
    <row r="398" ht="15" hidden="1" customHeight="1" spans="2:25">
      <c r="B398" s="96" t="s">
        <v>84</v>
      </c>
      <c r="C398" s="26" t="s">
        <v>259</v>
      </c>
      <c r="D398" s="27">
        <f t="shared" ref="D398:H398" si="200">SUM(D399:D407)</f>
        <v>31.93</v>
      </c>
      <c r="E398" s="27">
        <f t="shared" si="200"/>
        <v>0</v>
      </c>
      <c r="F398" s="27">
        <f t="shared" si="200"/>
        <v>0</v>
      </c>
      <c r="G398" s="27">
        <f t="shared" si="200"/>
        <v>0</v>
      </c>
      <c r="H398" s="27">
        <f t="shared" si="200"/>
        <v>31.93</v>
      </c>
      <c r="I398" s="28" t="s">
        <v>17</v>
      </c>
      <c r="J398" s="27">
        <f>J334</f>
        <v>0.375</v>
      </c>
      <c r="K398" s="29">
        <f>H398*10000/J398</f>
        <v>851466.666666667</v>
      </c>
      <c r="L398" s="147"/>
      <c r="M398" s="148"/>
      <c r="N398" s="149"/>
      <c r="O398" s="149"/>
      <c r="P398" s="20"/>
      <c r="Q398" s="20"/>
      <c r="R398" s="20"/>
      <c r="S398" s="20"/>
      <c r="T398" s="20"/>
      <c r="U398" s="20"/>
      <c r="V398" s="34"/>
      <c r="W398" s="2"/>
    </row>
    <row r="399" ht="15" customHeight="1" spans="2:25">
      <c r="B399" s="150">
        <v>1</v>
      </c>
      <c r="C399" s="100" t="s">
        <v>260</v>
      </c>
      <c r="D399" s="101">
        <f t="shared" ref="D399:D407" si="201">ROUND(J399*K399/10000,2)</f>
        <v>18.75</v>
      </c>
      <c r="E399" s="101"/>
      <c r="F399" s="21"/>
      <c r="G399" s="103"/>
      <c r="H399" s="102">
        <f t="shared" ref="H399:H407" si="202">SUM(D399:G399)</f>
        <v>18.75</v>
      </c>
      <c r="I399" s="103" t="s">
        <v>34</v>
      </c>
      <c r="J399" s="35">
        <f>375</f>
        <v>375</v>
      </c>
      <c r="K399" s="101">
        <f>500000/1000</f>
        <v>500</v>
      </c>
      <c r="L399" s="23"/>
      <c r="M399" s="151"/>
      <c r="N399" s="33">
        <f t="shared" ref="N399:N407" si="203">K399/1.05*1.03</f>
        <v>490.47619047619</v>
      </c>
      <c r="O399" s="152">
        <v>63</v>
      </c>
      <c r="P399" s="20"/>
      <c r="Q399" s="20"/>
      <c r="R399" s="20"/>
      <c r="S399" s="20"/>
      <c r="T399" s="20"/>
      <c r="U399" s="20"/>
      <c r="W399" s="2"/>
    </row>
    <row r="400" ht="15" hidden="1" customHeight="1" spans="2:25">
      <c r="B400" s="150">
        <v>2</v>
      </c>
      <c r="C400" s="100" t="s">
        <v>261</v>
      </c>
      <c r="D400" s="101">
        <f t="shared" si="201"/>
        <v>0</v>
      </c>
      <c r="E400" s="101"/>
      <c r="F400" s="21"/>
      <c r="G400" s="103"/>
      <c r="H400" s="102">
        <f t="shared" si="202"/>
        <v>0</v>
      </c>
      <c r="I400" s="103" t="s">
        <v>49</v>
      </c>
      <c r="J400" s="35">
        <f t="shared" ref="J400:J405" si="204">SUM(P400:T400)</f>
        <v>0</v>
      </c>
      <c r="K400" s="101">
        <v>66111.6094285714</v>
      </c>
      <c r="L400" s="23"/>
      <c r="M400" s="151"/>
      <c r="N400" s="33">
        <f t="shared" si="203"/>
        <v>64852.340677551</v>
      </c>
      <c r="O400" s="152">
        <v>67395.33</v>
      </c>
      <c r="P400" s="20"/>
      <c r="Q400" s="20"/>
      <c r="R400" s="20"/>
      <c r="S400" s="20"/>
      <c r="T400" s="20"/>
      <c r="U400" s="20"/>
      <c r="W400" s="2"/>
    </row>
    <row r="401" ht="15" hidden="1" customHeight="1" spans="2:24">
      <c r="B401" s="150">
        <v>3</v>
      </c>
      <c r="C401" s="100" t="s">
        <v>262</v>
      </c>
      <c r="D401" s="101">
        <f t="shared" si="201"/>
        <v>0</v>
      </c>
      <c r="E401" s="101"/>
      <c r="F401" s="21"/>
      <c r="G401" s="103"/>
      <c r="H401" s="102">
        <f t="shared" si="202"/>
        <v>0</v>
      </c>
      <c r="I401" s="103" t="s">
        <v>49</v>
      </c>
      <c r="J401" s="35">
        <f t="shared" si="204"/>
        <v>0</v>
      </c>
      <c r="K401" s="101">
        <v>18836.2476190476</v>
      </c>
      <c r="L401" s="23"/>
      <c r="M401" s="151"/>
      <c r="N401" s="33">
        <f t="shared" si="203"/>
        <v>18477.4619501134</v>
      </c>
      <c r="O401" s="152">
        <v>19202</v>
      </c>
      <c r="P401" s="20"/>
      <c r="Q401" s="20"/>
      <c r="R401" s="20"/>
      <c r="S401" s="20"/>
      <c r="T401" s="20"/>
      <c r="U401" s="20"/>
      <c r="W401" s="2"/>
    </row>
    <row r="402" ht="15" hidden="1" customHeight="1" spans="2:24">
      <c r="B402" s="150">
        <v>4</v>
      </c>
      <c r="C402" s="100" t="s">
        <v>263</v>
      </c>
      <c r="D402" s="101">
        <f t="shared" si="201"/>
        <v>0</v>
      </c>
      <c r="E402" s="101"/>
      <c r="F402" s="21"/>
      <c r="G402" s="103"/>
      <c r="H402" s="102">
        <f t="shared" si="202"/>
        <v>0</v>
      </c>
      <c r="I402" s="103" t="s">
        <v>49</v>
      </c>
      <c r="J402" s="35">
        <f t="shared" si="204"/>
        <v>0</v>
      </c>
      <c r="K402" s="101">
        <v>16667.3619047619</v>
      </c>
      <c r="L402" s="23"/>
      <c r="M402" s="151"/>
      <c r="N402" s="33">
        <f t="shared" si="203"/>
        <v>16349.8883446712</v>
      </c>
      <c r="O402" s="152">
        <v>16991</v>
      </c>
      <c r="P402" s="20"/>
      <c r="Q402" s="20"/>
      <c r="R402" s="20"/>
      <c r="S402" s="20"/>
      <c r="T402" s="20"/>
      <c r="U402" s="20"/>
      <c r="W402" s="2"/>
    </row>
    <row r="403" ht="15" hidden="1" customHeight="1" spans="2:24">
      <c r="B403" s="150">
        <v>5</v>
      </c>
      <c r="C403" s="100" t="s">
        <v>264</v>
      </c>
      <c r="D403" s="101">
        <f t="shared" si="201"/>
        <v>0</v>
      </c>
      <c r="E403" s="101"/>
      <c r="F403" s="21"/>
      <c r="G403" s="103"/>
      <c r="H403" s="102">
        <f t="shared" si="202"/>
        <v>0</v>
      </c>
      <c r="I403" s="103" t="s">
        <v>49</v>
      </c>
      <c r="J403" s="35">
        <f t="shared" si="204"/>
        <v>0</v>
      </c>
      <c r="K403" s="101">
        <v>5232.4</v>
      </c>
      <c r="L403" s="23"/>
      <c r="M403" s="151"/>
      <c r="N403" s="33">
        <f t="shared" si="203"/>
        <v>5132.73523809524</v>
      </c>
      <c r="O403" s="152">
        <v>5334</v>
      </c>
      <c r="P403" s="20"/>
      <c r="Q403" s="20"/>
      <c r="R403" s="20"/>
      <c r="S403" s="20"/>
      <c r="T403" s="20"/>
      <c r="U403" s="20"/>
      <c r="W403" s="2"/>
    </row>
    <row r="404" ht="15" hidden="1" customHeight="1" spans="2:24">
      <c r="B404" s="150">
        <v>6</v>
      </c>
      <c r="C404" s="100" t="s">
        <v>265</v>
      </c>
      <c r="D404" s="101">
        <f t="shared" si="201"/>
        <v>0</v>
      </c>
      <c r="E404" s="101"/>
      <c r="F404" s="21"/>
      <c r="G404" s="103"/>
      <c r="H404" s="102">
        <f t="shared" si="202"/>
        <v>0</v>
      </c>
      <c r="I404" s="103" t="s">
        <v>49</v>
      </c>
      <c r="J404" s="35">
        <f t="shared" si="204"/>
        <v>0</v>
      </c>
      <c r="K404" s="101">
        <v>1422.62619047619</v>
      </c>
      <c r="L404" s="23"/>
      <c r="M404" s="151"/>
      <c r="N404" s="33">
        <f t="shared" si="203"/>
        <v>1395.52854875283</v>
      </c>
      <c r="O404" s="152">
        <v>1450.25</v>
      </c>
      <c r="P404" s="20"/>
      <c r="Q404" s="20"/>
      <c r="R404" s="20"/>
      <c r="S404" s="20"/>
      <c r="T404" s="20"/>
      <c r="U404" s="20"/>
      <c r="W404" s="2"/>
    </row>
    <row r="405" ht="15" hidden="1" customHeight="1" spans="2:24">
      <c r="B405" s="150">
        <v>7</v>
      </c>
      <c r="C405" s="40" t="s">
        <v>266</v>
      </c>
      <c r="D405" s="101">
        <f t="shared" si="201"/>
        <v>0</v>
      </c>
      <c r="E405" s="101"/>
      <c r="F405" s="35"/>
      <c r="G405" s="102"/>
      <c r="H405" s="102">
        <f t="shared" si="202"/>
        <v>0</v>
      </c>
      <c r="I405" s="103" t="s">
        <v>49</v>
      </c>
      <c r="J405" s="35">
        <f t="shared" si="204"/>
        <v>0</v>
      </c>
      <c r="K405" s="101">
        <v>1906.97142857143</v>
      </c>
      <c r="L405" s="153"/>
      <c r="M405" s="105"/>
      <c r="N405" s="33">
        <f t="shared" si="203"/>
        <v>1870.64816326531</v>
      </c>
      <c r="O405" s="133">
        <v>1944</v>
      </c>
      <c r="P405" s="20"/>
      <c r="Q405" s="20"/>
      <c r="R405" s="20"/>
      <c r="S405" s="20"/>
      <c r="T405" s="20"/>
      <c r="U405" s="20"/>
      <c r="W405" s="2"/>
    </row>
    <row r="406" ht="15" customHeight="1" spans="2:24">
      <c r="B406" s="150">
        <v>8</v>
      </c>
      <c r="C406" s="40" t="s">
        <v>267</v>
      </c>
      <c r="D406" s="101">
        <f t="shared" si="201"/>
        <v>0</v>
      </c>
      <c r="E406" s="101"/>
      <c r="F406" s="35"/>
      <c r="G406" s="102"/>
      <c r="H406" s="102">
        <f t="shared" si="202"/>
        <v>0</v>
      </c>
      <c r="I406" s="103" t="s">
        <v>34</v>
      </c>
      <c r="J406" s="35"/>
      <c r="K406" s="101">
        <v>387</v>
      </c>
      <c r="L406" s="153"/>
      <c r="M406" s="105"/>
      <c r="N406" s="33">
        <f t="shared" si="203"/>
        <v>379.628571428571</v>
      </c>
      <c r="O406" s="133">
        <v>283.16</v>
      </c>
      <c r="P406" s="20"/>
      <c r="Q406" s="20"/>
      <c r="R406" s="20"/>
      <c r="S406" s="20"/>
      <c r="T406" s="20"/>
      <c r="U406" s="20"/>
      <c r="W406" s="2"/>
    </row>
    <row r="407" ht="15" customHeight="1" spans="2:24">
      <c r="B407" s="150">
        <v>9</v>
      </c>
      <c r="C407" s="40" t="s">
        <v>268</v>
      </c>
      <c r="D407" s="101">
        <f t="shared" si="201"/>
        <v>13.18</v>
      </c>
      <c r="E407" s="101"/>
      <c r="F407" s="35"/>
      <c r="G407" s="102"/>
      <c r="H407" s="102">
        <f t="shared" si="202"/>
        <v>13.18</v>
      </c>
      <c r="I407" s="103" t="s">
        <v>34</v>
      </c>
      <c r="J407" s="35">
        <v>425</v>
      </c>
      <c r="K407" s="101">
        <v>310</v>
      </c>
      <c r="L407" s="153"/>
      <c r="M407" s="105"/>
      <c r="N407" s="33">
        <f t="shared" si="203"/>
        <v>304.095238095238</v>
      </c>
      <c r="O407" s="133">
        <v>283.16</v>
      </c>
      <c r="P407" s="20"/>
      <c r="Q407" s="20"/>
      <c r="R407" s="20"/>
      <c r="S407" s="20"/>
      <c r="T407" s="20"/>
      <c r="U407" s="20"/>
      <c r="W407" s="2"/>
    </row>
    <row r="408" ht="15" hidden="1" customHeight="1" spans="2:24">
      <c r="B408" s="154" t="s">
        <v>89</v>
      </c>
      <c r="C408" s="155" t="s">
        <v>269</v>
      </c>
      <c r="D408" s="45">
        <f t="shared" ref="D408:H408" si="205">SUM(D409:D409)</f>
        <v>0</v>
      </c>
      <c r="E408" s="45">
        <f t="shared" si="205"/>
        <v>0</v>
      </c>
      <c r="F408" s="45">
        <f t="shared" si="205"/>
        <v>0</v>
      </c>
      <c r="G408" s="45">
        <f t="shared" si="205"/>
        <v>0</v>
      </c>
      <c r="H408" s="45">
        <f t="shared" si="205"/>
        <v>0</v>
      </c>
      <c r="I408" s="28" t="s">
        <v>17</v>
      </c>
      <c r="J408" s="28">
        <f>J334</f>
        <v>0.375</v>
      </c>
      <c r="K408" s="29">
        <f>H408*10000/J408</f>
        <v>0</v>
      </c>
      <c r="L408" s="107"/>
      <c r="M408" s="105"/>
      <c r="N408" s="33"/>
      <c r="O408" s="33"/>
      <c r="P408" s="20"/>
      <c r="Q408" s="20"/>
      <c r="R408" s="20"/>
      <c r="S408" s="20"/>
      <c r="T408" s="20"/>
      <c r="U408" s="20"/>
      <c r="V408" s="20"/>
      <c r="W408" s="2"/>
    </row>
    <row r="409" ht="15" hidden="1" customHeight="1" spans="2:24">
      <c r="B409" s="150">
        <v>1</v>
      </c>
      <c r="C409" s="156" t="s">
        <v>269</v>
      </c>
      <c r="D409" s="45"/>
      <c r="E409" s="101">
        <f>ROUND(J409*K409/10000,2)</f>
        <v>0</v>
      </c>
      <c r="F409" s="21"/>
      <c r="G409" s="103"/>
      <c r="H409" s="102">
        <f>SUM(D409:G409)</f>
        <v>0</v>
      </c>
      <c r="I409" s="35" t="s">
        <v>49</v>
      </c>
      <c r="J409" s="35">
        <v>0</v>
      </c>
      <c r="K409" s="101">
        <v>490476.19047619</v>
      </c>
      <c r="L409" s="107"/>
      <c r="M409" s="105"/>
      <c r="N409" s="33">
        <f>K409/1.05*1.03</f>
        <v>481133.786848072</v>
      </c>
      <c r="O409" s="133">
        <v>500000</v>
      </c>
      <c r="P409" s="20"/>
      <c r="Q409" s="20"/>
      <c r="R409" s="20"/>
      <c r="S409" s="20"/>
      <c r="T409" s="20"/>
      <c r="U409" s="20"/>
      <c r="V409" s="20"/>
      <c r="W409" s="2"/>
    </row>
    <row r="410" ht="21" hidden="1" customHeight="1" spans="2:24">
      <c r="B410" s="165" t="s">
        <v>98</v>
      </c>
      <c r="C410" s="44" t="s">
        <v>99</v>
      </c>
      <c r="D410" s="45"/>
      <c r="E410" s="45"/>
      <c r="F410" s="45"/>
      <c r="G410" s="46">
        <f>SUM(G411,G423:G445)</f>
        <v>2724.1753585</v>
      </c>
      <c r="H410" s="47">
        <f t="shared" ref="H410:H447" si="206">G410</f>
        <v>2724.1753585</v>
      </c>
      <c r="I410" s="43" t="str">
        <f>I4</f>
        <v>km</v>
      </c>
      <c r="J410" s="48">
        <f>J4</f>
        <v>4.775</v>
      </c>
      <c r="K410" s="29">
        <f>H410/J410*10000</f>
        <v>5705079.28481675</v>
      </c>
      <c r="L410" s="49">
        <f>+H410/H453</f>
        <v>0.105007657119439</v>
      </c>
      <c r="M410" s="166"/>
      <c r="N410" s="51"/>
      <c r="O410" s="51"/>
      <c r="P410" s="20"/>
      <c r="Q410" s="20"/>
      <c r="R410" s="52"/>
      <c r="U410" s="20"/>
      <c r="V410" s="20"/>
      <c r="W410" s="52"/>
    </row>
    <row r="411" ht="16.5" hidden="1" customHeight="1" spans="2:24">
      <c r="B411" s="167">
        <v>1</v>
      </c>
      <c r="C411" s="168" t="s">
        <v>100</v>
      </c>
      <c r="D411" s="169"/>
      <c r="E411" s="170"/>
      <c r="F411" s="170"/>
      <c r="G411" s="36">
        <f>J411*K411</f>
        <v>0</v>
      </c>
      <c r="H411" s="36">
        <f t="shared" si="206"/>
        <v>0</v>
      </c>
      <c r="I411" s="57" t="s">
        <v>102</v>
      </c>
      <c r="J411" s="36"/>
      <c r="K411" s="36">
        <f t="shared" ref="K411:K422" si="207">0</f>
        <v>0</v>
      </c>
      <c r="L411" s="58"/>
      <c r="M411" s="171"/>
      <c r="N411" s="172"/>
      <c r="O411" s="172"/>
      <c r="P411" s="173"/>
      <c r="Q411" s="173"/>
      <c r="R411" s="174"/>
      <c r="U411" s="173"/>
      <c r="V411" s="172"/>
      <c r="W411" s="174"/>
    </row>
    <row r="412" ht="16.5" hidden="1" customHeight="1" spans="2:24">
      <c r="B412" s="167" t="s">
        <v>304</v>
      </c>
      <c r="C412" s="54" t="s">
        <v>103</v>
      </c>
      <c r="D412" s="55"/>
      <c r="E412" s="55"/>
      <c r="F412" s="55"/>
      <c r="G412" s="57">
        <f>G413</f>
        <v>0</v>
      </c>
      <c r="H412" s="57">
        <f t="shared" si="206"/>
        <v>0</v>
      </c>
      <c r="I412" s="175"/>
      <c r="J412" s="53"/>
      <c r="K412" s="176"/>
      <c r="L412" s="58"/>
      <c r="M412" s="171"/>
      <c r="N412" s="177"/>
      <c r="O412" s="177"/>
      <c r="R412" s="174"/>
      <c r="V412" s="4"/>
      <c r="W412" s="174"/>
    </row>
    <row r="413" ht="16.5" hidden="1" customHeight="1" spans="2:24">
      <c r="B413" s="167" t="s">
        <v>305</v>
      </c>
      <c r="C413" s="54" t="s">
        <v>105</v>
      </c>
      <c r="D413" s="55"/>
      <c r="E413" s="55"/>
      <c r="F413" s="55"/>
      <c r="G413" s="57">
        <f t="shared" ref="G413:G422" si="208">ROUND(J413*K413/10000,2)</f>
        <v>0</v>
      </c>
      <c r="H413" s="178">
        <f t="shared" si="206"/>
        <v>0</v>
      </c>
      <c r="I413" s="175" t="s">
        <v>102</v>
      </c>
      <c r="J413" s="53"/>
      <c r="K413" s="176">
        <f t="shared" si="207"/>
        <v>0</v>
      </c>
      <c r="L413" s="58"/>
      <c r="M413" s="171"/>
      <c r="N413" s="172"/>
      <c r="O413" s="172"/>
      <c r="P413" s="173"/>
      <c r="Q413" s="179"/>
      <c r="R413" s="180"/>
      <c r="S413" s="181"/>
      <c r="U413" s="173"/>
      <c r="V413" s="182"/>
      <c r="W413" s="180"/>
      <c r="X413" s="183"/>
    </row>
    <row r="414" ht="16.5" hidden="1" customHeight="1" spans="2:24">
      <c r="B414" s="167" t="s">
        <v>306</v>
      </c>
      <c r="C414" s="54" t="s">
        <v>108</v>
      </c>
      <c r="D414" s="55"/>
      <c r="E414" s="55"/>
      <c r="F414" s="55"/>
      <c r="G414" s="57">
        <f>SUM(G415:G422)</f>
        <v>0</v>
      </c>
      <c r="H414" s="178">
        <f t="shared" si="206"/>
        <v>0</v>
      </c>
      <c r="I414" s="175"/>
      <c r="J414" s="53"/>
      <c r="K414" s="176"/>
      <c r="L414" s="58"/>
      <c r="M414" s="171"/>
      <c r="N414" s="172"/>
      <c r="O414" s="172"/>
      <c r="P414" s="174"/>
      <c r="Q414" s="174"/>
      <c r="R414" s="174"/>
      <c r="U414" s="174"/>
      <c r="V414" s="184"/>
      <c r="W414" s="174"/>
    </row>
    <row r="415" ht="16.5" hidden="1" customHeight="1" spans="2:24">
      <c r="B415" s="167" t="s">
        <v>104</v>
      </c>
      <c r="C415" s="54" t="s">
        <v>110</v>
      </c>
      <c r="D415" s="55"/>
      <c r="E415" s="55"/>
      <c r="F415" s="55"/>
      <c r="G415" s="57">
        <f t="shared" si="208"/>
        <v>0</v>
      </c>
      <c r="H415" s="178">
        <f t="shared" si="206"/>
        <v>0</v>
      </c>
      <c r="I415" s="175" t="e">
        <f>#REF!</f>
        <v>#REF!</v>
      </c>
      <c r="J415" s="175"/>
      <c r="K415" s="185">
        <f t="shared" si="207"/>
        <v>0</v>
      </c>
      <c r="L415" s="58"/>
      <c r="M415" s="171"/>
      <c r="N415" s="172"/>
      <c r="O415" s="172"/>
      <c r="P415" s="173"/>
      <c r="Q415" s="173"/>
      <c r="R415" s="174"/>
      <c r="S415" s="181"/>
      <c r="U415" s="173"/>
      <c r="V415" s="172"/>
      <c r="W415" s="174"/>
      <c r="X415" s="183"/>
    </row>
    <row r="416" ht="16.5" hidden="1" customHeight="1" spans="2:24">
      <c r="B416" s="167" t="s">
        <v>106</v>
      </c>
      <c r="C416" s="54" t="s">
        <v>307</v>
      </c>
      <c r="D416" s="55"/>
      <c r="E416" s="55"/>
      <c r="F416" s="55"/>
      <c r="G416" s="57">
        <f t="shared" si="208"/>
        <v>0</v>
      </c>
      <c r="H416" s="178">
        <f t="shared" si="206"/>
        <v>0</v>
      </c>
      <c r="I416" s="175" t="e">
        <f>#REF!</f>
        <v>#REF!</v>
      </c>
      <c r="J416" s="175"/>
      <c r="K416" s="185">
        <f t="shared" si="207"/>
        <v>0</v>
      </c>
      <c r="L416" s="58"/>
      <c r="M416" s="171"/>
      <c r="N416" s="172"/>
      <c r="O416" s="172"/>
      <c r="P416" s="173"/>
      <c r="Q416" s="173"/>
      <c r="R416" s="174"/>
      <c r="U416" s="173"/>
      <c r="V416" s="172"/>
      <c r="W416" s="174"/>
    </row>
    <row r="417" ht="16.5" hidden="1" customHeight="1" spans="2:23">
      <c r="B417" s="167" t="s">
        <v>308</v>
      </c>
      <c r="C417" s="54" t="s">
        <v>113</v>
      </c>
      <c r="D417" s="55"/>
      <c r="E417" s="55"/>
      <c r="F417" s="55"/>
      <c r="G417" s="57">
        <f t="shared" si="208"/>
        <v>0</v>
      </c>
      <c r="H417" s="178">
        <f t="shared" si="206"/>
        <v>0</v>
      </c>
      <c r="I417" s="175" t="e">
        <f>#REF!</f>
        <v>#REF!</v>
      </c>
      <c r="J417" s="175"/>
      <c r="K417" s="185">
        <f t="shared" si="207"/>
        <v>0</v>
      </c>
      <c r="L417" s="58"/>
      <c r="M417" s="171"/>
      <c r="N417" s="172"/>
      <c r="O417" s="172"/>
      <c r="P417" s="173"/>
      <c r="Q417" s="173"/>
      <c r="R417" s="174"/>
      <c r="U417" s="173"/>
      <c r="V417" s="172"/>
      <c r="W417" s="174"/>
    </row>
    <row r="418" ht="16.5" hidden="1" customHeight="1" spans="2:23">
      <c r="B418" s="167" t="s">
        <v>309</v>
      </c>
      <c r="C418" s="54" t="s">
        <v>115</v>
      </c>
      <c r="D418" s="55"/>
      <c r="E418" s="55"/>
      <c r="F418" s="55"/>
      <c r="G418" s="57">
        <f t="shared" si="208"/>
        <v>0</v>
      </c>
      <c r="H418" s="178">
        <f t="shared" si="206"/>
        <v>0</v>
      </c>
      <c r="I418" s="175" t="e">
        <f>#REF!</f>
        <v>#REF!</v>
      </c>
      <c r="J418" s="175"/>
      <c r="K418" s="185">
        <f t="shared" si="207"/>
        <v>0</v>
      </c>
      <c r="L418" s="58"/>
      <c r="M418" s="171"/>
      <c r="N418" s="172"/>
      <c r="O418" s="172"/>
      <c r="P418" s="173"/>
      <c r="Q418" s="173"/>
      <c r="R418" s="174"/>
      <c r="U418" s="173"/>
      <c r="V418" s="172"/>
      <c r="W418" s="174"/>
    </row>
    <row r="419" ht="16.5" hidden="1" customHeight="1" spans="2:23">
      <c r="B419" s="167" t="s">
        <v>310</v>
      </c>
      <c r="C419" s="54" t="s">
        <v>125</v>
      </c>
      <c r="D419" s="55"/>
      <c r="E419" s="55"/>
      <c r="F419" s="55"/>
      <c r="G419" s="57">
        <f t="shared" si="208"/>
        <v>0</v>
      </c>
      <c r="H419" s="178">
        <f t="shared" si="206"/>
        <v>0</v>
      </c>
      <c r="I419" s="175" t="e">
        <f>#REF!</f>
        <v>#REF!</v>
      </c>
      <c r="J419" s="175"/>
      <c r="K419" s="185">
        <f t="shared" si="207"/>
        <v>0</v>
      </c>
      <c r="L419" s="58"/>
      <c r="M419" s="171"/>
      <c r="N419" s="172"/>
      <c r="O419" s="172"/>
      <c r="P419" s="173"/>
      <c r="Q419" s="173"/>
      <c r="R419" s="174"/>
      <c r="U419" s="173"/>
      <c r="V419" s="172"/>
      <c r="W419" s="174"/>
    </row>
    <row r="420" ht="16.5" hidden="1" customHeight="1" spans="2:23">
      <c r="B420" s="167" t="s">
        <v>311</v>
      </c>
      <c r="C420" s="54" t="s">
        <v>121</v>
      </c>
      <c r="D420" s="55"/>
      <c r="E420" s="55"/>
      <c r="F420" s="55"/>
      <c r="G420" s="57">
        <f t="shared" si="208"/>
        <v>0</v>
      </c>
      <c r="H420" s="178">
        <f t="shared" si="206"/>
        <v>0</v>
      </c>
      <c r="I420" s="175" t="e">
        <f>#REF!</f>
        <v>#REF!</v>
      </c>
      <c r="J420" s="175"/>
      <c r="K420" s="185">
        <f t="shared" si="207"/>
        <v>0</v>
      </c>
      <c r="L420" s="58"/>
      <c r="M420" s="171"/>
      <c r="N420" s="172"/>
      <c r="O420" s="172"/>
      <c r="P420" s="173"/>
      <c r="Q420" s="173"/>
      <c r="R420" s="174"/>
      <c r="U420" s="173"/>
      <c r="V420" s="172"/>
      <c r="W420" s="174"/>
    </row>
    <row r="421" ht="16.5" customHeight="1" spans="2:23">
      <c r="B421" s="167" t="s">
        <v>312</v>
      </c>
      <c r="C421" s="54" t="s">
        <v>123</v>
      </c>
      <c r="D421" s="55"/>
      <c r="E421" s="55"/>
      <c r="F421" s="55"/>
      <c r="G421" s="57">
        <f t="shared" si="208"/>
        <v>0</v>
      </c>
      <c r="H421" s="178">
        <f t="shared" si="206"/>
        <v>0</v>
      </c>
      <c r="I421" s="175" t="e">
        <f>#REF!</f>
        <v>#REF!</v>
      </c>
      <c r="J421" s="175"/>
      <c r="K421" s="185">
        <f t="shared" si="207"/>
        <v>0</v>
      </c>
      <c r="L421" s="58"/>
      <c r="M421" s="171"/>
      <c r="N421" s="172"/>
      <c r="O421" s="172"/>
      <c r="P421" s="173"/>
      <c r="Q421" s="173"/>
      <c r="R421" s="174"/>
      <c r="U421" s="173"/>
      <c r="V421" s="172"/>
      <c r="W421" s="174"/>
    </row>
    <row r="422" ht="16.5" customHeight="1" spans="2:23">
      <c r="B422" s="167" t="s">
        <v>313</v>
      </c>
      <c r="C422" s="54" t="s">
        <v>314</v>
      </c>
      <c r="D422" s="55"/>
      <c r="E422" s="55"/>
      <c r="F422" s="55"/>
      <c r="G422" s="57">
        <f t="shared" si="208"/>
        <v>0</v>
      </c>
      <c r="H422" s="178">
        <f t="shared" si="206"/>
        <v>0</v>
      </c>
      <c r="I422" s="175" t="e">
        <f>#REF!</f>
        <v>#REF!</v>
      </c>
      <c r="J422" s="175"/>
      <c r="K422" s="185">
        <f t="shared" si="207"/>
        <v>0</v>
      </c>
      <c r="L422" s="58"/>
      <c r="M422" s="171"/>
      <c r="N422" s="172"/>
      <c r="O422" s="172"/>
      <c r="P422" s="173"/>
      <c r="Q422" s="173"/>
      <c r="R422" s="174"/>
      <c r="U422" s="173"/>
      <c r="V422" s="172"/>
      <c r="W422" s="174"/>
    </row>
    <row r="423" ht="16.5" hidden="1" customHeight="1" spans="2:23">
      <c r="B423" s="186">
        <v>2</v>
      </c>
      <c r="C423" s="54" t="s">
        <v>128</v>
      </c>
      <c r="D423" s="55" t="s">
        <v>315</v>
      </c>
      <c r="E423" s="55"/>
      <c r="F423" s="55"/>
      <c r="G423" s="36">
        <f>(1400000/10000+(H4-100000000/10000)*0.01)</f>
        <v>252.9678</v>
      </c>
      <c r="H423" s="178">
        <f t="shared" si="206"/>
        <v>252.9678</v>
      </c>
      <c r="I423" s="57"/>
      <c r="J423" s="57"/>
      <c r="K423" s="57"/>
      <c r="L423" s="58"/>
      <c r="M423" s="187">
        <f t="shared" ref="M423:M445" si="209">H423/$H$4</f>
        <v>0.0118782182095134</v>
      </c>
      <c r="N423" s="60"/>
      <c r="O423" s="60"/>
      <c r="P423" s="188"/>
      <c r="Q423" s="188"/>
      <c r="R423" s="61"/>
      <c r="U423" s="188"/>
      <c r="V423" s="60"/>
      <c r="W423" s="61"/>
    </row>
    <row r="424" ht="16.5" hidden="1" customHeight="1" spans="2:23">
      <c r="B424" s="186">
        <v>3</v>
      </c>
      <c r="C424" s="54" t="s">
        <v>130</v>
      </c>
      <c r="D424" s="55" t="s">
        <v>131</v>
      </c>
      <c r="E424" s="55"/>
      <c r="F424" s="55"/>
      <c r="G424" s="36">
        <f>IF(H4&lt;=500,16.5/500*H4,IF(AND(H4&gt;500,H4&lt;=1000),16.5+(H4-500)*(30.1-16.5)/500,IF(AND(H4&gt;1000,H4&lt;=3000),30.1+(H4-1000)*(78.1-30.1)/2000,IF(AND(H4&gt;3000,H4&lt;=5000),78.1+(H4-3000)*(120.8-78.1)/2000,IF(AND(H4&gt;5000,H4&lt;=8000),120.8+(H4-5000)*(181-120.8)/3000,IF(AND(H4&gt;8000,H4&lt;=10000),181+(H4-8000)*(218.6-181)/2000,IF(AND(H4&gt;10000,H4&lt;=20000),218.6+(H4-10000)*(393.4-218.6)/10000,IF(AND(H4&gt;20000,H4&lt;=40000),393.4+(H4-20000)*(708.2-393.4)/20000))))))))</f>
        <v>413.8113172</v>
      </c>
      <c r="H424" s="178">
        <f t="shared" si="206"/>
        <v>413.8113172</v>
      </c>
      <c r="I424" s="57"/>
      <c r="J424" s="57"/>
      <c r="K424" s="57"/>
      <c r="L424" s="58"/>
      <c r="M424" s="187">
        <f t="shared" si="209"/>
        <v>0.0194306987816938</v>
      </c>
      <c r="N424" s="60"/>
      <c r="O424" s="60"/>
      <c r="P424" s="188"/>
      <c r="Q424" s="188"/>
      <c r="R424" s="61"/>
      <c r="U424" s="188"/>
      <c r="V424" s="60"/>
      <c r="W424" s="61"/>
    </row>
    <row r="425" ht="16.5" hidden="1" customHeight="1" spans="2:23">
      <c r="B425" s="186">
        <v>4</v>
      </c>
      <c r="C425" s="54" t="s">
        <v>132</v>
      </c>
      <c r="D425" s="55" t="s">
        <v>316</v>
      </c>
      <c r="E425" s="55"/>
      <c r="F425" s="55"/>
      <c r="G425" s="36">
        <f>ROUND(500*(5*2+4.8)+500*(4.6*2+4.3)+4000*(4.2*2+3.8)+5000*(4*2+3.6)+(H4-10000)*(3.6*2+3.2),2)/1000</f>
        <v>238.43651</v>
      </c>
      <c r="H425" s="178">
        <f t="shared" si="206"/>
        <v>238.43651</v>
      </c>
      <c r="I425" s="57"/>
      <c r="J425" s="57"/>
      <c r="K425" s="57"/>
      <c r="L425" s="58"/>
      <c r="M425" s="187">
        <f t="shared" si="209"/>
        <v>0.0111958948723704</v>
      </c>
      <c r="N425" s="60"/>
      <c r="O425" s="60"/>
      <c r="P425" s="188"/>
      <c r="Q425" s="188"/>
      <c r="R425" s="61"/>
      <c r="U425" s="188"/>
      <c r="V425" s="60"/>
      <c r="W425" s="61"/>
    </row>
    <row r="426" ht="16.5" hidden="1" customHeight="1" spans="2:23">
      <c r="B426" s="186">
        <v>5</v>
      </c>
      <c r="C426" s="54" t="s">
        <v>134</v>
      </c>
      <c r="D426" s="55" t="s">
        <v>135</v>
      </c>
      <c r="E426" s="55"/>
      <c r="F426" s="55"/>
      <c r="G426" s="36">
        <f>IF(H4&lt;=1000,H4*(2.5-1)/1000+H4*3/1000+H4*1.5/1000,IF(AND(H4&gt;1000,H4&lt;=3000),2.5+(H4-1000)*(6-2.5)/2000+5+(H4-1000)*7/2000+2.5+(H4-1000)*2.5/2000,IF(AND(H4&gt;3000,H4&lt;=10000),6+(H4-3000)*8/7000+12+(H4-3000)*16/7000+5+(H4-3000)*5/7000,IF(AND(H4&gt;10000,H4&lt;=50000),14+(H4-10000)*23/40000+28+(H4-10000)*47/40000+10+(H4-10000)*5/40000))))</f>
        <v>73.1814625</v>
      </c>
      <c r="H426" s="178">
        <f t="shared" si="206"/>
        <v>73.1814625</v>
      </c>
      <c r="I426" s="57"/>
      <c r="J426" s="57"/>
      <c r="K426" s="57"/>
      <c r="L426" s="58"/>
      <c r="M426" s="187">
        <f t="shared" si="209"/>
        <v>0.00343626888665798</v>
      </c>
      <c r="N426" s="60"/>
      <c r="O426" s="60"/>
      <c r="P426" s="188"/>
      <c r="Q426" s="188"/>
      <c r="R426" s="61"/>
      <c r="U426" s="188"/>
      <c r="V426" s="60"/>
      <c r="W426" s="61"/>
    </row>
    <row r="427" ht="16.5" hidden="1" customHeight="1" spans="2:23">
      <c r="B427" s="186">
        <v>6</v>
      </c>
      <c r="C427" s="54" t="s">
        <v>136</v>
      </c>
      <c r="D427" s="55" t="s">
        <v>137</v>
      </c>
      <c r="E427" s="55"/>
      <c r="F427" s="55"/>
      <c r="G427" s="36">
        <f>H4*(0.01)</f>
        <v>212.9678</v>
      </c>
      <c r="H427" s="178">
        <f t="shared" si="206"/>
        <v>212.9678</v>
      </c>
      <c r="I427" s="57"/>
      <c r="J427" s="57"/>
      <c r="K427" s="57"/>
      <c r="L427" s="58"/>
      <c r="M427" s="187">
        <f t="shared" si="209"/>
        <v>0.01</v>
      </c>
      <c r="N427" s="60"/>
      <c r="O427" s="60"/>
      <c r="P427" s="188"/>
      <c r="Q427" s="188"/>
      <c r="R427" s="61"/>
      <c r="U427" s="188"/>
      <c r="V427" s="60"/>
      <c r="W427" s="61"/>
    </row>
    <row r="428" ht="16.5" hidden="1" customHeight="1" spans="2:23">
      <c r="B428" s="186">
        <v>7</v>
      </c>
      <c r="C428" s="54" t="s">
        <v>138</v>
      </c>
      <c r="D428" s="55" t="s">
        <v>139</v>
      </c>
      <c r="E428" s="55"/>
      <c r="F428" s="55"/>
      <c r="G428" s="36">
        <f>(IF(H4&lt;=500,(9+(H4-200)*11.9/300)*1,IF(AND(H4&gt;500,H4&lt;=1000),(20.9+(H4-500)*(38.8-20.9)/500)*1,IF(AND(H4&gt;1000,H4&lt;=3000),(38.8+(H4-1000)*(103.8-38.8)/2000)*1*0.9,IF(AND(H4&gt;3000,H4&lt;=5000),(103.8+(H4-3000)*(163.9-103.8)/2000)*1.1,IF(AND(H4&gt;5000,H4&lt;=8000),(163.9+(H4-5000)*(249.6-163.9)/3000)*1.1,IF(AND(H4&gt;8000,H4&lt;=10000),(249.6+(H4-8000)*(304.8-249.6)/2000)*1,IF(AND(H4&gt;10000,H4&lt;=20000),(304.8+(H4-10000)*(566.8-304.8)/10000),IF(AND(H4&gt;20000,H4&lt;=40000),(566.8+(H4-20000)*(1054-566.8)/20000))))))))))</f>
        <v>598.3895608</v>
      </c>
      <c r="H428" s="178">
        <f t="shared" si="206"/>
        <v>598.3895608</v>
      </c>
      <c r="I428" s="57"/>
      <c r="J428" s="57"/>
      <c r="K428" s="57"/>
      <c r="L428" s="58"/>
      <c r="M428" s="187">
        <f t="shared" si="209"/>
        <v>0.0280976542369316</v>
      </c>
      <c r="N428" s="60"/>
      <c r="O428" s="60"/>
      <c r="P428" s="188"/>
      <c r="Q428" s="188"/>
      <c r="R428" s="61"/>
      <c r="U428" s="188"/>
      <c r="V428" s="60"/>
      <c r="W428" s="61"/>
    </row>
    <row r="429" ht="16.5" hidden="1" customHeight="1" spans="2:23">
      <c r="B429" s="186">
        <v>8</v>
      </c>
      <c r="C429" s="54" t="s">
        <v>140</v>
      </c>
      <c r="D429" s="55" t="s">
        <v>141</v>
      </c>
      <c r="E429" s="55"/>
      <c r="F429" s="55"/>
      <c r="G429" s="36">
        <f>IF(H4&lt;3000,5+1/3000*H4+0.8+0.7/3000*H4,IF(AND(H4&gt;=3000,H4&lt;20000),6+9/17000*(H4-3000)+1.5+1.5/17000*(H4-30000),IF(AND(H4&gt;=20000,H4&lt;100000),15+20/80000*(H4-20000)+3+4/80000*(H4-20000))))</f>
        <v>18.389034</v>
      </c>
      <c r="H429" s="178">
        <f t="shared" si="206"/>
        <v>18.389034</v>
      </c>
      <c r="I429" s="57"/>
      <c r="J429" s="57"/>
      <c r="K429" s="57"/>
      <c r="L429" s="58"/>
      <c r="M429" s="187">
        <f t="shared" si="209"/>
        <v>0.000863465462854009</v>
      </c>
      <c r="N429" s="60"/>
      <c r="O429" s="60"/>
      <c r="P429" s="188"/>
      <c r="Q429" s="188"/>
      <c r="R429" s="61"/>
      <c r="U429" s="188"/>
      <c r="V429" s="60"/>
      <c r="W429" s="61"/>
    </row>
    <row r="430" ht="16.5" hidden="1" customHeight="1" spans="2:23">
      <c r="B430" s="186">
        <v>9</v>
      </c>
      <c r="C430" s="54" t="s">
        <v>142</v>
      </c>
      <c r="D430" s="55" t="s">
        <v>143</v>
      </c>
      <c r="E430" s="55"/>
      <c r="F430" s="55"/>
      <c r="G430" s="36">
        <f>800000/10000</f>
        <v>80</v>
      </c>
      <c r="H430" s="178">
        <f t="shared" si="206"/>
        <v>80</v>
      </c>
      <c r="I430" s="57"/>
      <c r="J430" s="57"/>
      <c r="K430" s="57"/>
      <c r="L430" s="58"/>
      <c r="M430" s="187">
        <f t="shared" si="209"/>
        <v>0.00375643641902673</v>
      </c>
      <c r="N430" s="60"/>
      <c r="O430" s="60"/>
      <c r="P430" s="188"/>
      <c r="Q430" s="188"/>
      <c r="R430" s="61"/>
      <c r="U430" s="188"/>
      <c r="V430" s="60"/>
      <c r="W430" s="61"/>
    </row>
    <row r="431" ht="16.5" hidden="1" customHeight="1" spans="2:23">
      <c r="B431" s="186">
        <v>10</v>
      </c>
      <c r="C431" s="54" t="s">
        <v>317</v>
      </c>
      <c r="D431" s="55" t="s">
        <v>318</v>
      </c>
      <c r="E431" s="55"/>
      <c r="F431" s="55"/>
      <c r="G431" s="36">
        <f>IF(H4&lt;=5000,30/5000*H4,IF(AND(H4&gt;5000,H4&lt;=10000),30+22/5000*(H4-5000),IF(AND(H4&gt;10000,H4&lt;=20000),52+20/10000*(H4-10000),IF(AND(H4&gt;20000,H4&lt;=30000),72+10/10000*(H4-20000),IF(AND(H4&gt;30000,H4&lt;=40000),82+13/10000*(H4-30000))))))</f>
        <v>73.29678</v>
      </c>
      <c r="H431" s="178">
        <f t="shared" si="206"/>
        <v>73.29678</v>
      </c>
      <c r="I431" s="57"/>
      <c r="J431" s="57"/>
      <c r="K431" s="57"/>
      <c r="L431" s="58"/>
      <c r="M431" s="187">
        <f t="shared" si="209"/>
        <v>0.00344168367236737</v>
      </c>
      <c r="N431" s="60"/>
      <c r="O431" s="60"/>
      <c r="P431" s="188"/>
      <c r="Q431" s="188"/>
      <c r="R431" s="61"/>
      <c r="U431" s="188"/>
      <c r="V431" s="60"/>
      <c r="W431" s="61"/>
    </row>
    <row r="432" ht="16.5" hidden="1" customHeight="1" spans="2:23">
      <c r="B432" s="186">
        <v>11</v>
      </c>
      <c r="C432" s="54" t="s">
        <v>144</v>
      </c>
      <c r="D432" s="55" t="s">
        <v>145</v>
      </c>
      <c r="E432" s="55"/>
      <c r="F432" s="55"/>
      <c r="G432" s="36">
        <f>H4*0.3%</f>
        <v>63.89034</v>
      </c>
      <c r="H432" s="178">
        <f t="shared" si="206"/>
        <v>63.89034</v>
      </c>
      <c r="I432" s="57"/>
      <c r="J432" s="57"/>
      <c r="K432" s="57"/>
      <c r="L432" s="58"/>
      <c r="M432" s="187">
        <f t="shared" si="209"/>
        <v>0.003</v>
      </c>
      <c r="N432" s="60"/>
      <c r="O432" s="60"/>
      <c r="P432" s="188"/>
      <c r="Q432" s="188"/>
      <c r="R432" s="61"/>
      <c r="U432" s="188"/>
      <c r="V432" s="60"/>
      <c r="W432" s="61"/>
    </row>
    <row r="433" ht="16.5" hidden="1" customHeight="1" spans="2:23">
      <c r="B433" s="186">
        <v>12</v>
      </c>
      <c r="C433" s="54" t="s">
        <v>146</v>
      </c>
      <c r="D433" s="55" t="s">
        <v>319</v>
      </c>
      <c r="E433" s="55"/>
      <c r="F433" s="55"/>
      <c r="G433" s="36">
        <f>H4*2%</f>
        <v>425.9356</v>
      </c>
      <c r="H433" s="178">
        <f t="shared" si="206"/>
        <v>425.9356</v>
      </c>
      <c r="I433" s="57"/>
      <c r="J433" s="57"/>
      <c r="K433" s="57"/>
      <c r="L433" s="58"/>
      <c r="M433" s="187">
        <f t="shared" si="209"/>
        <v>0.02</v>
      </c>
      <c r="N433" s="60"/>
      <c r="O433" s="60"/>
      <c r="P433" s="188"/>
      <c r="Q433" s="188"/>
      <c r="R433" s="61"/>
      <c r="U433" s="188"/>
      <c r="V433" s="60"/>
      <c r="W433" s="61"/>
    </row>
    <row r="434" ht="16.5" hidden="1" customHeight="1" spans="2:23">
      <c r="B434" s="186">
        <v>13</v>
      </c>
      <c r="C434" s="54" t="s">
        <v>147</v>
      </c>
      <c r="D434" s="62" t="s">
        <v>148</v>
      </c>
      <c r="E434" s="62"/>
      <c r="F434" s="62"/>
      <c r="G434" s="36">
        <f>H4*0.4%</f>
        <v>85.18712</v>
      </c>
      <c r="H434" s="178">
        <f t="shared" si="206"/>
        <v>85.18712</v>
      </c>
      <c r="I434" s="57"/>
      <c r="J434" s="57"/>
      <c r="K434" s="57"/>
      <c r="L434" s="58"/>
      <c r="M434" s="187">
        <f t="shared" si="209"/>
        <v>0.004</v>
      </c>
      <c r="N434" s="60"/>
      <c r="O434" s="60"/>
      <c r="P434" s="188"/>
      <c r="Q434" s="188"/>
      <c r="R434" s="61"/>
      <c r="U434" s="188"/>
      <c r="V434" s="60"/>
      <c r="W434" s="61"/>
    </row>
    <row r="435" ht="16.5" hidden="1" customHeight="1" spans="2:23">
      <c r="B435" s="186">
        <v>14</v>
      </c>
      <c r="C435" s="54" t="s">
        <v>149</v>
      </c>
      <c r="D435" s="55" t="s">
        <v>150</v>
      </c>
      <c r="E435" s="55"/>
      <c r="F435" s="55"/>
      <c r="G435" s="36">
        <v>50</v>
      </c>
      <c r="H435" s="178">
        <f t="shared" si="206"/>
        <v>50</v>
      </c>
      <c r="I435" s="57"/>
      <c r="J435" s="57"/>
      <c r="K435" s="57"/>
      <c r="L435" s="58"/>
      <c r="M435" s="187">
        <f t="shared" si="209"/>
        <v>0.0023477727618917</v>
      </c>
      <c r="N435" s="60"/>
      <c r="O435" s="60"/>
      <c r="P435" s="188"/>
      <c r="Q435" s="188"/>
      <c r="R435" s="61"/>
      <c r="U435" s="188"/>
      <c r="V435" s="60"/>
      <c r="W435" s="61"/>
    </row>
    <row r="436" ht="16.5" hidden="1" customHeight="1" spans="2:23">
      <c r="B436" s="186">
        <v>15</v>
      </c>
      <c r="C436" s="54" t="s">
        <v>151</v>
      </c>
      <c r="D436" s="55" t="s">
        <v>316</v>
      </c>
      <c r="E436" s="55"/>
      <c r="F436" s="55"/>
      <c r="G436" s="36">
        <f>IF(H4&lt;500,100*0.01+(H4-100)*0.007,IF(AND(H4&gt;=500,H4&lt;1000),100*0.01+400*0.007+(H4-500)*0.0055,IF(AND(H4&gt;=1000,H4&lt;5000),100*0.01+400*0.007+500*0.0055+(H4-1000)*0.0035,IF(AND(H4&gt;=5000,H4&lt;10000),100*0.01+400*0.007+500*0.0055+4000*0.0035+(H4-5000)*0.002,IF(AND(H4&gt;=10000,H4&lt;100000),100*0.01+400*0.007+500*0.0055+4000*0.0035+5000*0.002+(H4-10000)*0.0005)))))*0+(100*0.01+400*0.007+500*0.0055+4000*0.0035+5000*0.002+(H4-10000)*0.0005)</f>
        <v>36.19839</v>
      </c>
      <c r="H436" s="178">
        <f t="shared" si="206"/>
        <v>36.19839</v>
      </c>
      <c r="I436" s="57"/>
      <c r="J436" s="57"/>
      <c r="K436" s="57"/>
      <c r="L436" s="58"/>
      <c r="M436" s="187">
        <f t="shared" si="209"/>
        <v>0.00169971188132666</v>
      </c>
      <c r="N436" s="60"/>
      <c r="O436" s="60"/>
      <c r="P436" s="188"/>
      <c r="Q436" s="188"/>
      <c r="R436" s="61"/>
      <c r="U436" s="188"/>
      <c r="V436" s="60"/>
      <c r="W436" s="61"/>
    </row>
    <row r="437" ht="16.5" hidden="1" customHeight="1" spans="2:23">
      <c r="B437" s="186">
        <v>16</v>
      </c>
      <c r="C437" s="54" t="s">
        <v>153</v>
      </c>
      <c r="D437" s="55" t="s">
        <v>320</v>
      </c>
      <c r="E437" s="55"/>
      <c r="F437" s="55"/>
      <c r="G437" s="36">
        <f>IF(H4&lt;500,100*0.0018+(H4-100)*0.0015+H427*3.5%,IF(AND(H4&gt;=500,H4&lt;1000),100*0.0018+400*0.0015+(H4-500)*0.0012+H427*3.5%,IF(AND(H4&gt;=1000,H4&lt;4000),100*0.0018+400*0.0015+500*0.0012+(H4-1000)*0.0008+H427*3.5%,IF(AND(H4&gt;=4000,H4&lt;8000),100*0.0018+400*0.0015+500*0.0012+3000*0.0009+(H4-4000)*0.0006+H427*3.5%,IF(AND(H4&gt;=8000,H4&lt;16000),100*0.0018+400*0.0015+500*0.0012+3000*0.0009+4000*0.0006+(H4-8000)*0.0003+H427*3.5%,IF(H4&gt;=16000,100*0.0018+400*0.0015+500*0.0012+3000*0.0009+4000*0.0006+8000*0.0003+(H4-16000)*0.00015+H427*3.5%))))))</f>
        <v>17.12839</v>
      </c>
      <c r="H437" s="178">
        <f t="shared" si="206"/>
        <v>17.12839</v>
      </c>
      <c r="I437" s="57"/>
      <c r="J437" s="57"/>
      <c r="K437" s="57"/>
      <c r="L437" s="58"/>
      <c r="M437" s="187">
        <f t="shared" si="209"/>
        <v>0.000804271349941165</v>
      </c>
      <c r="N437" s="60"/>
      <c r="O437" s="60"/>
      <c r="P437" s="188"/>
      <c r="Q437" s="188"/>
      <c r="R437" s="61"/>
      <c r="U437" s="188"/>
      <c r="V437" s="60"/>
      <c r="W437" s="61"/>
    </row>
    <row r="438" ht="16.5" hidden="1" customHeight="1" spans="2:23">
      <c r="B438" s="186">
        <v>17</v>
      </c>
      <c r="C438" s="54" t="s">
        <v>155</v>
      </c>
      <c r="D438" s="55" t="s">
        <v>156</v>
      </c>
      <c r="E438" s="55"/>
      <c r="F438" s="55"/>
      <c r="G438" s="36">
        <f>ROUND((J10+J92+J176+J262+J337)*0.67/10000,2)</f>
        <v>7.83</v>
      </c>
      <c r="H438" s="178">
        <f t="shared" si="206"/>
        <v>7.83</v>
      </c>
      <c r="I438" s="57"/>
      <c r="J438" s="57"/>
      <c r="K438" s="57"/>
      <c r="L438" s="58"/>
      <c r="M438" s="187">
        <f t="shared" si="209"/>
        <v>0.000367661214512241</v>
      </c>
      <c r="N438" s="60"/>
      <c r="O438" s="60"/>
      <c r="P438" s="188"/>
      <c r="Q438" s="188"/>
      <c r="R438" s="61"/>
      <c r="U438" s="188"/>
      <c r="V438" s="60"/>
      <c r="W438" s="61"/>
    </row>
    <row r="439" ht="16.5" hidden="1" customHeight="1" spans="2:23">
      <c r="B439" s="186">
        <v>18</v>
      </c>
      <c r="C439" s="54" t="s">
        <v>321</v>
      </c>
      <c r="D439" s="55" t="s">
        <v>322</v>
      </c>
      <c r="E439" s="55"/>
      <c r="F439" s="55"/>
      <c r="G439" s="36">
        <f>SUM(P11:P12,P93:P94,P177:P178,P263:P264,P338:P339)*5/10000</f>
        <v>31.51958</v>
      </c>
      <c r="H439" s="178">
        <f t="shared" si="206"/>
        <v>31.51958</v>
      </c>
      <c r="I439" s="57"/>
      <c r="J439" s="57"/>
      <c r="K439" s="57"/>
      <c r="L439" s="58"/>
      <c r="M439" s="187">
        <f t="shared" si="209"/>
        <v>0.00148001622780533</v>
      </c>
      <c r="N439" s="60"/>
      <c r="O439" s="60"/>
      <c r="P439" s="188"/>
      <c r="Q439" s="188"/>
      <c r="R439" s="61"/>
      <c r="U439" s="188"/>
      <c r="V439" s="60"/>
      <c r="W439" s="61"/>
    </row>
    <row r="440" ht="16.5" hidden="1" customHeight="1" spans="2:23">
      <c r="B440" s="186">
        <v>19</v>
      </c>
      <c r="C440" s="54" t="s">
        <v>323</v>
      </c>
      <c r="D440" s="189"/>
      <c r="E440" s="190"/>
      <c r="F440" s="191"/>
      <c r="G440" s="36">
        <v>0</v>
      </c>
      <c r="H440" s="178">
        <f t="shared" si="206"/>
        <v>0</v>
      </c>
      <c r="I440" s="57"/>
      <c r="J440" s="57"/>
      <c r="K440" s="57"/>
      <c r="L440" s="58"/>
      <c r="M440" s="187">
        <f t="shared" si="209"/>
        <v>0</v>
      </c>
      <c r="N440" s="60"/>
      <c r="O440" s="60"/>
      <c r="P440" s="188"/>
      <c r="Q440" s="188"/>
      <c r="R440" s="61"/>
      <c r="U440" s="188"/>
      <c r="V440" s="60"/>
      <c r="W440" s="61"/>
    </row>
    <row r="441" ht="16.5" hidden="1" customHeight="1" spans="2:23">
      <c r="B441" s="186">
        <v>20</v>
      </c>
      <c r="C441" s="54" t="s">
        <v>324</v>
      </c>
      <c r="D441" s="189" t="s">
        <v>325</v>
      </c>
      <c r="E441" s="190"/>
      <c r="F441" s="191"/>
      <c r="G441" s="36">
        <f>H4*0.1*0.012</f>
        <v>25.556136</v>
      </c>
      <c r="H441" s="178">
        <f t="shared" si="206"/>
        <v>25.556136</v>
      </c>
      <c r="I441" s="57"/>
      <c r="J441" s="57"/>
      <c r="K441" s="57"/>
      <c r="L441" s="58"/>
      <c r="M441" s="187">
        <f t="shared" si="209"/>
        <v>0.0012</v>
      </c>
      <c r="N441" s="60"/>
      <c r="O441" s="60"/>
      <c r="P441" s="188"/>
      <c r="Q441" s="188"/>
      <c r="R441" s="61"/>
      <c r="U441" s="188"/>
      <c r="V441" s="60"/>
      <c r="W441" s="61"/>
    </row>
    <row r="442" ht="16.5" hidden="1" customHeight="1" spans="2:23">
      <c r="B442" s="186">
        <v>21</v>
      </c>
      <c r="C442" s="54" t="s">
        <v>326</v>
      </c>
      <c r="D442" s="189"/>
      <c r="E442" s="190"/>
      <c r="F442" s="191"/>
      <c r="G442" s="36">
        <v>0</v>
      </c>
      <c r="H442" s="178">
        <f t="shared" si="206"/>
        <v>0</v>
      </c>
      <c r="I442" s="57"/>
      <c r="J442" s="57"/>
      <c r="K442" s="57"/>
      <c r="L442" s="58"/>
      <c r="M442" s="187">
        <f t="shared" si="209"/>
        <v>0</v>
      </c>
      <c r="N442" s="60"/>
      <c r="O442" s="60"/>
      <c r="P442" s="188"/>
      <c r="Q442" s="188"/>
      <c r="R442" s="61"/>
      <c r="U442" s="188"/>
      <c r="V442" s="60"/>
      <c r="W442" s="61"/>
    </row>
    <row r="443" ht="16.5" hidden="1" customHeight="1" spans="2:23">
      <c r="B443" s="186">
        <v>22</v>
      </c>
      <c r="C443" s="54" t="s">
        <v>327</v>
      </c>
      <c r="D443" s="189"/>
      <c r="E443" s="190"/>
      <c r="F443" s="191"/>
      <c r="G443" s="36">
        <v>0</v>
      </c>
      <c r="H443" s="178">
        <f t="shared" si="206"/>
        <v>0</v>
      </c>
      <c r="I443" s="57"/>
      <c r="J443" s="57"/>
      <c r="K443" s="57"/>
      <c r="L443" s="58"/>
      <c r="M443" s="187">
        <f t="shared" si="209"/>
        <v>0</v>
      </c>
      <c r="N443" s="60"/>
      <c r="O443" s="60"/>
      <c r="P443" s="188"/>
      <c r="Q443" s="188"/>
      <c r="R443" s="61"/>
      <c r="U443" s="188"/>
      <c r="V443" s="60"/>
      <c r="W443" s="61"/>
    </row>
    <row r="444" ht="16.5" hidden="1" customHeight="1" spans="2:23">
      <c r="B444" s="186">
        <v>23</v>
      </c>
      <c r="C444" s="54" t="s">
        <v>328</v>
      </c>
      <c r="D444" s="189"/>
      <c r="E444" s="190"/>
      <c r="F444" s="191"/>
      <c r="G444" s="36">
        <f>184895.38/10000</f>
        <v>18.489538</v>
      </c>
      <c r="H444" s="178">
        <f t="shared" si="206"/>
        <v>18.489538</v>
      </c>
      <c r="I444" s="57"/>
      <c r="J444" s="57"/>
      <c r="K444" s="57"/>
      <c r="L444" s="58"/>
      <c r="M444" s="187">
        <f t="shared" si="209"/>
        <v>0.000868184673927232</v>
      </c>
      <c r="N444" s="60"/>
      <c r="O444" s="60"/>
      <c r="P444" s="188"/>
      <c r="Q444" s="188"/>
      <c r="R444" s="61"/>
      <c r="U444" s="188"/>
      <c r="V444" s="60"/>
      <c r="W444" s="61"/>
    </row>
    <row r="445" ht="16.5" hidden="1" customHeight="1" spans="2:23">
      <c r="B445" s="186">
        <v>24</v>
      </c>
      <c r="C445" s="54" t="s">
        <v>329</v>
      </c>
      <c r="D445" s="55" t="s">
        <v>330</v>
      </c>
      <c r="E445" s="55"/>
      <c r="F445" s="55"/>
      <c r="G445" s="36">
        <f>2.5*0.4</f>
        <v>1</v>
      </c>
      <c r="H445" s="178">
        <f t="shared" si="206"/>
        <v>1</v>
      </c>
      <c r="I445" s="57"/>
      <c r="J445" s="57"/>
      <c r="K445" s="57"/>
      <c r="L445" s="58"/>
      <c r="M445" s="187">
        <f t="shared" si="209"/>
        <v>4.69554552378341e-5</v>
      </c>
      <c r="N445" s="60"/>
      <c r="O445" s="60"/>
      <c r="P445" s="188"/>
      <c r="Q445" s="188"/>
      <c r="R445" s="61"/>
      <c r="U445" s="188"/>
      <c r="V445" s="60"/>
      <c r="W445" s="61"/>
    </row>
    <row r="446" ht="18" hidden="1" customHeight="1" spans="2:23">
      <c r="B446" s="192" t="s">
        <v>161</v>
      </c>
      <c r="C446" s="64" t="s">
        <v>162</v>
      </c>
      <c r="D446" s="65"/>
      <c r="E446" s="65"/>
      <c r="F446" s="65"/>
      <c r="G446" s="65">
        <f>SUM(G447:G448)</f>
        <v>1921.68</v>
      </c>
      <c r="H446" s="65">
        <f t="shared" si="206"/>
        <v>1921.68</v>
      </c>
      <c r="I446" s="63"/>
      <c r="J446" s="63"/>
      <c r="K446" s="63"/>
      <c r="L446" s="30">
        <f>+H446/H453</f>
        <v>0.0740742015390649</v>
      </c>
      <c r="M446" s="193"/>
      <c r="N446" s="66"/>
      <c r="O446" s="66"/>
      <c r="P446" s="76"/>
      <c r="Q446" s="76"/>
      <c r="R446" s="67"/>
      <c r="U446" s="76"/>
      <c r="V446" s="66"/>
      <c r="W446" s="67"/>
    </row>
    <row r="447" ht="18" hidden="1" customHeight="1" spans="2:23">
      <c r="B447" s="194">
        <v>1</v>
      </c>
      <c r="C447" s="69" t="s">
        <v>163</v>
      </c>
      <c r="D447" s="70" t="s">
        <v>331</v>
      </c>
      <c r="E447" s="70"/>
      <c r="F447" s="70"/>
      <c r="G447" s="70">
        <f>ROUND((H4+H410)*8%,2)</f>
        <v>1921.68</v>
      </c>
      <c r="H447" s="70">
        <f t="shared" si="206"/>
        <v>1921.68</v>
      </c>
      <c r="I447" s="68"/>
      <c r="J447" s="68"/>
      <c r="K447" s="68"/>
      <c r="L447" s="41"/>
      <c r="M447" s="195">
        <v>0.05</v>
      </c>
      <c r="N447" s="72"/>
      <c r="O447" s="72"/>
      <c r="P447" s="196"/>
      <c r="Q447" s="196"/>
      <c r="R447" s="67"/>
      <c r="U447" s="196"/>
      <c r="V447" s="72"/>
      <c r="W447" s="67"/>
    </row>
    <row r="448" ht="18" hidden="1" customHeight="1" spans="2:23">
      <c r="B448" s="194">
        <v>2</v>
      </c>
      <c r="C448" s="69" t="s">
        <v>165</v>
      </c>
      <c r="D448" s="70"/>
      <c r="E448" s="70"/>
      <c r="F448" s="70"/>
      <c r="G448" s="70"/>
      <c r="H448" s="70"/>
      <c r="I448" s="68"/>
      <c r="J448" s="68"/>
      <c r="K448" s="68"/>
      <c r="L448" s="41"/>
      <c r="M448" s="197"/>
      <c r="N448" s="73"/>
      <c r="O448" s="73"/>
      <c r="P448" s="76"/>
      <c r="Q448" s="76"/>
      <c r="R448" s="67"/>
      <c r="U448" s="76"/>
      <c r="V448" s="73"/>
      <c r="W448" s="67"/>
    </row>
    <row r="449" ht="24" hidden="1" customHeight="1" spans="2:23">
      <c r="B449" s="192" t="s">
        <v>166</v>
      </c>
      <c r="C449" s="64" t="s">
        <v>167</v>
      </c>
      <c r="D449" s="65">
        <f t="shared" ref="D449:F449" si="210">D4</f>
        <v>21296.78</v>
      </c>
      <c r="E449" s="65">
        <f t="shared" si="210"/>
        <v>0</v>
      </c>
      <c r="F449" s="65">
        <f t="shared" si="210"/>
        <v>0</v>
      </c>
      <c r="G449" s="65">
        <f>G410+G446</f>
        <v>4645.8553585</v>
      </c>
      <c r="H449" s="65">
        <f>H4+H410+H446</f>
        <v>25942.6353585</v>
      </c>
      <c r="I449" s="74" t="str">
        <f>I410</f>
        <v>km</v>
      </c>
      <c r="J449" s="75">
        <f>J410</f>
        <v>4.775</v>
      </c>
      <c r="K449" s="29">
        <f>H449/J449*10000</f>
        <v>54330126.4052356</v>
      </c>
      <c r="L449" s="30">
        <f>+H449/H453</f>
        <v>1</v>
      </c>
      <c r="M449" s="193"/>
      <c r="N449" s="66"/>
      <c r="O449" s="66"/>
      <c r="P449" s="76"/>
      <c r="Q449" s="76"/>
      <c r="R449" s="67"/>
      <c r="U449" s="76"/>
      <c r="V449" s="66"/>
      <c r="W449" s="67"/>
    </row>
    <row r="450" ht="24" hidden="1" customHeight="1" spans="2:23">
      <c r="B450" s="192" t="s">
        <v>168</v>
      </c>
      <c r="C450" s="64" t="s">
        <v>169</v>
      </c>
      <c r="D450" s="65"/>
      <c r="E450" s="65"/>
      <c r="F450" s="65"/>
      <c r="G450" s="65">
        <f>H450</f>
        <v>0</v>
      </c>
      <c r="H450" s="65">
        <f>SUM(D464:E465)*0</f>
        <v>0</v>
      </c>
      <c r="I450" s="63"/>
      <c r="J450" s="75"/>
      <c r="K450" s="63"/>
      <c r="L450" s="30"/>
      <c r="M450" s="193"/>
      <c r="N450" s="66"/>
      <c r="O450" s="66"/>
      <c r="P450" s="76"/>
      <c r="Q450" s="76"/>
      <c r="R450" s="67"/>
      <c r="U450" s="76"/>
      <c r="V450" s="66"/>
      <c r="W450" s="67"/>
    </row>
    <row r="451" ht="24" hidden="1" customHeight="1" spans="2:23">
      <c r="B451" s="192" t="s">
        <v>170</v>
      </c>
      <c r="C451" s="64" t="s">
        <v>171</v>
      </c>
      <c r="D451" s="65"/>
      <c r="E451" s="65"/>
      <c r="F451" s="65"/>
      <c r="G451" s="65"/>
      <c r="H451" s="65"/>
      <c r="I451" s="63"/>
      <c r="J451" s="75"/>
      <c r="K451" s="63"/>
      <c r="L451" s="30"/>
      <c r="M451" s="193"/>
      <c r="N451" s="66"/>
      <c r="O451" s="66"/>
      <c r="P451" s="76"/>
      <c r="Q451" s="76"/>
      <c r="R451" s="67"/>
      <c r="U451" s="76"/>
      <c r="V451" s="66"/>
      <c r="W451" s="67"/>
    </row>
    <row r="452" ht="18" hidden="1" customHeight="1" spans="2:23">
      <c r="B452" s="192" t="s">
        <v>172</v>
      </c>
      <c r="C452" s="64" t="s">
        <v>173</v>
      </c>
      <c r="D452" s="65"/>
      <c r="E452" s="65"/>
      <c r="F452" s="65"/>
      <c r="G452" s="65"/>
      <c r="H452" s="65"/>
      <c r="I452" s="63"/>
      <c r="J452" s="75"/>
      <c r="K452" s="63"/>
      <c r="L452" s="30"/>
      <c r="M452" s="193"/>
      <c r="N452" s="66"/>
      <c r="O452" s="66"/>
      <c r="P452" s="76"/>
      <c r="Q452" s="76"/>
      <c r="R452" s="67"/>
      <c r="U452" s="76"/>
      <c r="V452" s="66"/>
      <c r="W452" s="67"/>
    </row>
    <row r="453" ht="18" hidden="1" customHeight="1" spans="2:23">
      <c r="B453" s="198" t="s">
        <v>174</v>
      </c>
      <c r="C453" s="199" t="s">
        <v>175</v>
      </c>
      <c r="D453" s="200">
        <f t="shared" ref="D453:H453" si="211">D449+D450+D451+D452</f>
        <v>21296.78</v>
      </c>
      <c r="E453" s="200">
        <f t="shared" si="211"/>
        <v>0</v>
      </c>
      <c r="F453" s="200">
        <f t="shared" si="211"/>
        <v>0</v>
      </c>
      <c r="G453" s="200">
        <f t="shared" si="211"/>
        <v>4645.8553585</v>
      </c>
      <c r="H453" s="200">
        <f t="shared" si="211"/>
        <v>25942.6353585</v>
      </c>
      <c r="I453" s="201" t="str">
        <f>I410</f>
        <v>km</v>
      </c>
      <c r="J453" s="202">
        <f>J410</f>
        <v>4.775</v>
      </c>
      <c r="K453" s="203">
        <f>H453/J453*10000</f>
        <v>54330126.4052356</v>
      </c>
      <c r="L453" s="204">
        <f>+H453/H453</f>
        <v>1</v>
      </c>
      <c r="M453" s="205"/>
      <c r="N453" s="66"/>
      <c r="O453" s="66"/>
      <c r="P453" s="76"/>
      <c r="Q453" s="76"/>
      <c r="R453" s="67"/>
      <c r="U453" s="76"/>
      <c r="V453" s="66"/>
      <c r="W453" s="67"/>
    </row>
    <row r="454" ht="14.25" hidden="1"/>
    <row r="455" hidden="1" spans="2:23">
      <c r="G455" s="34"/>
      <c r="H455" s="34"/>
      <c r="I455" s="77"/>
    </row>
    <row r="456" hidden="1" spans="2:23">
      <c r="B456" s="78"/>
    </row>
    <row r="457" hidden="1" spans="2:23">
      <c r="C457" s="79" t="s">
        <v>332</v>
      </c>
      <c r="D457" s="80">
        <f>(H449)-D458</f>
        <v>20754.1082868</v>
      </c>
      <c r="E457" s="81"/>
      <c r="H457" s="82"/>
    </row>
    <row r="458" hidden="1" spans="2:23">
      <c r="C458" s="79" t="s">
        <v>333</v>
      </c>
      <c r="D458" s="80">
        <f>H449*0.2</f>
        <v>5188.5270717</v>
      </c>
      <c r="E458" s="81"/>
    </row>
    <row r="459" hidden="1" spans="2:23">
      <c r="C459" s="206"/>
      <c r="D459" s="207" t="s">
        <v>334</v>
      </c>
      <c r="E459" s="207"/>
    </row>
    <row r="460" hidden="1" spans="2:23">
      <c r="C460" s="206"/>
      <c r="D460" s="208">
        <v>1</v>
      </c>
      <c r="E460" s="208">
        <v>2</v>
      </c>
    </row>
    <row r="461" hidden="1" spans="2:23">
      <c r="C461" s="206"/>
      <c r="D461" s="209">
        <v>0.5</v>
      </c>
      <c r="E461" s="209">
        <v>0.5</v>
      </c>
    </row>
    <row r="462" hidden="1" spans="2:23">
      <c r="C462" s="79" t="s">
        <v>335</v>
      </c>
      <c r="D462" s="207">
        <f>H4/2/2*0</f>
        <v>0</v>
      </c>
      <c r="E462" s="207">
        <f>H4/2/2*0</f>
        <v>0</v>
      </c>
    </row>
    <row r="463" hidden="1" spans="2:23">
      <c r="C463" s="79" t="s">
        <v>336</v>
      </c>
      <c r="D463" s="207">
        <f>D457/2-D462</f>
        <v>10377.0541434</v>
      </c>
      <c r="E463" s="207">
        <f>D457/2-E462</f>
        <v>10377.0541434</v>
      </c>
    </row>
    <row r="464" hidden="1" spans="2:23">
      <c r="C464" s="79" t="s">
        <v>337</v>
      </c>
      <c r="D464" s="207">
        <f>D462/2*4.8%</f>
        <v>0</v>
      </c>
      <c r="E464" s="207">
        <f>(D462+D464+E462/2)*0.048</f>
        <v>0</v>
      </c>
    </row>
    <row r="465" hidden="1" spans="3:8">
      <c r="C465" s="79" t="s">
        <v>338</v>
      </c>
      <c r="D465" s="207">
        <f>D463/2*0.041</f>
        <v>212.7296099397</v>
      </c>
      <c r="E465" s="207">
        <f>(D463+D465+E463/2)*0.041</f>
        <v>646.910743826628</v>
      </c>
    </row>
    <row r="466" hidden="1"/>
    <row r="467" hidden="1" spans="3:8">
      <c r="H467" s="210">
        <f>H453*0.8</f>
        <v>20754.1082868</v>
      </c>
    </row>
    <row r="468" hidden="1" spans="3:8">
      <c r="H468" s="210">
        <f>H453*0.2</f>
        <v>5188.5270717</v>
      </c>
    </row>
    <row r="469" hidden="1"/>
    <row r="470" hidden="1"/>
    <row r="471" hidden="1"/>
    <row r="472" hidden="1"/>
  </sheetData>
  <autoFilter xmlns:etc="http://www.wps.cn/officeDocument/2017/etCustomData" ref="A3:XFD468" etc:filterBottomFollowUsedRange="0">
    <filterColumn colId="8">
      <customFilters>
        <customFilter operator="equal" val="m"/>
      </customFilters>
    </filterColumn>
    <extLst/>
  </autoFilter>
  <mergeCells count="46">
    <mergeCell ref="B1:M1"/>
    <mergeCell ref="D2:H2"/>
    <mergeCell ref="I2:K2"/>
    <mergeCell ref="D410:F410"/>
    <mergeCell ref="D411:F411"/>
    <mergeCell ref="D412:F412"/>
    <mergeCell ref="D413:F413"/>
    <mergeCell ref="D414:F414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29:F429"/>
    <mergeCell ref="D430:F430"/>
    <mergeCell ref="D431:F431"/>
    <mergeCell ref="D432:F432"/>
    <mergeCell ref="D433:F433"/>
    <mergeCell ref="D434:F434"/>
    <mergeCell ref="D435:F435"/>
    <mergeCell ref="D436:F436"/>
    <mergeCell ref="D437:F437"/>
    <mergeCell ref="D438:F438"/>
    <mergeCell ref="D439:F439"/>
    <mergeCell ref="D440:F440"/>
    <mergeCell ref="D441:F441"/>
    <mergeCell ref="D442:F442"/>
    <mergeCell ref="D443:F443"/>
    <mergeCell ref="D444:F444"/>
    <mergeCell ref="D445:F445"/>
    <mergeCell ref="D446:F446"/>
    <mergeCell ref="D447:F447"/>
    <mergeCell ref="D459:E459"/>
    <mergeCell ref="B2:B3"/>
    <mergeCell ref="C2:C3"/>
    <mergeCell ref="L2:L3"/>
    <mergeCell ref="M2:M3"/>
  </mergeCells>
  <pageMargins left="0.700694444444445" right="0.590277777777778" top="0.751388888888889" bottom="0.751388888888889" header="0.298611111111111" footer="0.298611111111111"/>
  <pageSetup paperSize="9" scale="99" orientation="landscape"/>
  <headerFooter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Y472"/>
  <sheetViews>
    <sheetView view="pageBreakPreview" zoomScaleNormal="115" topLeftCell="B1" workbookViewId="0">
      <pane xSplit="1" ySplit="3" topLeftCell="C4" activePane="bottomRight" state="frozenSplit"/>
      <selection/>
      <selection pane="topRight"/>
      <selection pane="bottomLeft"/>
      <selection pane="bottomRight" activeCell="P3" sqref="P3:T3"/>
    </sheetView>
  </sheetViews>
  <sheetFormatPr defaultColWidth="9" defaultRowHeight="13.5"/>
  <cols>
    <col min="1" max="1" width="9" style="2" hidden="1" customWidth="1"/>
    <col min="2" max="2" width="6.5" style="2" customWidth="1"/>
    <col min="3" max="3" width="34.5" style="2" customWidth="1"/>
    <col min="4" max="8" width="10" style="2" customWidth="1"/>
    <col min="9" max="9" width="7.25" style="2" customWidth="1"/>
    <col min="10" max="10" width="10" style="2" customWidth="1"/>
    <col min="11" max="11" width="10.3833333333333" style="2" customWidth="1"/>
    <col min="12" max="12" width="8.25" style="3" customWidth="1"/>
    <col min="13" max="13" width="8.38333333333333" style="2" customWidth="1"/>
    <col min="14" max="15" width="8.38333333333333" style="2" hidden="1" customWidth="1"/>
    <col min="16" max="17" width="8.5" style="4" customWidth="1"/>
    <col min="18" max="18" width="8.5" style="5" customWidth="1"/>
    <col min="19" max="21" width="8.5" style="4" customWidth="1"/>
    <col min="22" max="22" width="8.5" style="6" customWidth="1"/>
    <col min="23" max="23" width="7.25" style="7" customWidth="1"/>
    <col min="24" max="24" width="9.38333333333333" style="6" customWidth="1"/>
    <col min="25" max="25" width="9.5" style="6" customWidth="1"/>
    <col min="26" max="26" width="10.5" style="2" customWidth="1"/>
    <col min="27" max="27" width="9" style="2"/>
    <col min="28" max="28" width="13.6333333333333" style="2" customWidth="1"/>
    <col min="29" max="16384" width="9" style="2"/>
  </cols>
  <sheetData>
    <row r="1" ht="20.1" customHeight="1" spans="2:25">
      <c r="B1" s="8" t="s">
        <v>176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10"/>
      <c r="P1" s="11" t="s">
        <v>177</v>
      </c>
      <c r="Q1" s="11" t="s">
        <v>178</v>
      </c>
      <c r="R1" s="11" t="s">
        <v>179</v>
      </c>
      <c r="S1" s="11" t="s">
        <v>180</v>
      </c>
      <c r="T1" s="11" t="s">
        <v>181</v>
      </c>
      <c r="U1" s="11"/>
      <c r="V1" s="12"/>
      <c r="W1" s="13"/>
    </row>
    <row r="2" ht="21.75" customHeight="1" spans="2:25">
      <c r="B2" s="88" t="s">
        <v>182</v>
      </c>
      <c r="C2" s="89" t="s">
        <v>183</v>
      </c>
      <c r="D2" s="89" t="s">
        <v>184</v>
      </c>
      <c r="E2" s="90"/>
      <c r="F2" s="90"/>
      <c r="G2" s="90"/>
      <c r="H2" s="90"/>
      <c r="I2" s="89" t="s">
        <v>185</v>
      </c>
      <c r="J2" s="90"/>
      <c r="K2" s="90"/>
      <c r="L2" s="91" t="s">
        <v>186</v>
      </c>
      <c r="M2" s="92" t="s">
        <v>6</v>
      </c>
      <c r="N2" s="19"/>
      <c r="O2" s="19"/>
      <c r="P2" s="20">
        <v>1.6</v>
      </c>
      <c r="Q2" s="20">
        <v>0.785</v>
      </c>
      <c r="R2" s="20">
        <v>1.3</v>
      </c>
      <c r="S2" s="20">
        <v>0.715</v>
      </c>
      <c r="T2" s="20">
        <v>0.375</v>
      </c>
      <c r="U2" s="20"/>
      <c r="W2" s="2"/>
    </row>
    <row r="3" ht="34.5" customHeight="1" spans="2:25">
      <c r="B3" s="93"/>
      <c r="C3" s="17"/>
      <c r="D3" s="16" t="s">
        <v>187</v>
      </c>
      <c r="E3" s="16" t="s">
        <v>188</v>
      </c>
      <c r="F3" s="21" t="s">
        <v>189</v>
      </c>
      <c r="G3" s="22" t="s">
        <v>190</v>
      </c>
      <c r="H3" s="22" t="s">
        <v>191</v>
      </c>
      <c r="I3" s="16" t="s">
        <v>192</v>
      </c>
      <c r="J3" s="16" t="s">
        <v>193</v>
      </c>
      <c r="K3" s="21" t="s">
        <v>194</v>
      </c>
      <c r="L3" s="23"/>
      <c r="M3" s="94"/>
      <c r="N3" s="24"/>
      <c r="O3" s="24"/>
      <c r="P3" s="95">
        <f>H6</f>
        <v>4404.12</v>
      </c>
      <c r="Q3" s="20">
        <f>H88</f>
        <v>2649.89</v>
      </c>
      <c r="R3" s="20">
        <f>H172</f>
        <v>3031.21</v>
      </c>
      <c r="S3" s="20">
        <f>H258</f>
        <v>1765.88</v>
      </c>
      <c r="T3" s="20">
        <f>H333</f>
        <v>848.05</v>
      </c>
      <c r="U3" s="20"/>
      <c r="W3" s="2"/>
    </row>
    <row r="4" s="1" customFormat="1" ht="18.75" customHeight="1" spans="2:25">
      <c r="B4" s="96" t="s">
        <v>15</v>
      </c>
      <c r="C4" s="26" t="s">
        <v>16</v>
      </c>
      <c r="D4" s="27">
        <f>D5</f>
        <v>12699.15</v>
      </c>
      <c r="E4" s="27">
        <f>E5</f>
        <v>0</v>
      </c>
      <c r="F4" s="27">
        <f>F5</f>
        <v>0</v>
      </c>
      <c r="G4" s="27">
        <f>G5</f>
        <v>0</v>
      </c>
      <c r="H4" s="27">
        <f>H5</f>
        <v>12699.15</v>
      </c>
      <c r="I4" s="28" t="s">
        <v>17</v>
      </c>
      <c r="J4" s="27">
        <f>SUM(P2:U2)</f>
        <v>4.775</v>
      </c>
      <c r="K4" s="29">
        <f>H4/J4*10000</f>
        <v>26595078.5340314</v>
      </c>
      <c r="L4" s="30">
        <f>H4/H453</f>
        <v>0.810917223908727</v>
      </c>
      <c r="M4" s="97"/>
      <c r="N4" s="32"/>
      <c r="O4" s="33"/>
      <c r="P4" s="20"/>
      <c r="Q4" s="20"/>
      <c r="R4" s="20"/>
      <c r="S4" s="20"/>
      <c r="T4" s="20"/>
      <c r="U4" s="20"/>
      <c r="V4" s="34"/>
      <c r="W4" s="2"/>
      <c r="X4" s="34"/>
      <c r="Y4" s="34"/>
    </row>
    <row r="5" s="1" customFormat="1" ht="15" customHeight="1" spans="2:25">
      <c r="B5" s="96" t="s">
        <v>195</v>
      </c>
      <c r="C5" s="26" t="s">
        <v>196</v>
      </c>
      <c r="D5" s="27">
        <f>D6+D88+D172+D258+D333</f>
        <v>12699.15</v>
      </c>
      <c r="E5" s="27">
        <f>E6+E88+E172+E258+E333</f>
        <v>0</v>
      </c>
      <c r="F5" s="27">
        <f>F6+F88+F172+F258+F333</f>
        <v>0</v>
      </c>
      <c r="G5" s="27">
        <f>G6+G88+G172+G258+G333</f>
        <v>0</v>
      </c>
      <c r="H5" s="27">
        <f>H6+H88+H172+H258+H333</f>
        <v>12699.15</v>
      </c>
      <c r="I5" s="28" t="s">
        <v>17</v>
      </c>
      <c r="J5" s="27">
        <f>SUM(P2:U2)</f>
        <v>4.775</v>
      </c>
      <c r="K5" s="29"/>
      <c r="L5" s="30"/>
      <c r="M5" s="97"/>
      <c r="N5" s="32"/>
      <c r="O5" s="32"/>
      <c r="P5" s="20"/>
      <c r="Q5" s="20"/>
      <c r="R5" s="20"/>
      <c r="S5" s="20"/>
      <c r="T5" s="20"/>
      <c r="U5" s="20"/>
      <c r="V5" s="34"/>
      <c r="W5" s="2"/>
      <c r="X5" s="34"/>
      <c r="Y5" s="34"/>
    </row>
    <row r="6" s="1" customFormat="1" ht="15" customHeight="1" spans="2:25">
      <c r="B6" s="96">
        <v>1.1</v>
      </c>
      <c r="C6" s="26" t="s">
        <v>177</v>
      </c>
      <c r="D6" s="27">
        <f t="shared" ref="D6:H6" si="0">D7+D10+D32+D42+D47+D76+D86+D53+D60+D65</f>
        <v>4404.12</v>
      </c>
      <c r="E6" s="27">
        <f t="shared" si="0"/>
        <v>0</v>
      </c>
      <c r="F6" s="27">
        <f t="shared" si="0"/>
        <v>0</v>
      </c>
      <c r="G6" s="27">
        <f t="shared" si="0"/>
        <v>0</v>
      </c>
      <c r="H6" s="27">
        <f t="shared" si="0"/>
        <v>4404.12</v>
      </c>
      <c r="I6" s="28" t="s">
        <v>17</v>
      </c>
      <c r="J6" s="27">
        <f>P2</f>
        <v>1.6</v>
      </c>
      <c r="K6" s="29">
        <f>H6/J6*10000</f>
        <v>27525750</v>
      </c>
      <c r="L6" s="30"/>
      <c r="M6" s="97"/>
      <c r="N6" s="32"/>
      <c r="O6" s="32"/>
      <c r="P6" s="20"/>
      <c r="Q6" s="20"/>
      <c r="R6" s="20"/>
      <c r="S6" s="20"/>
      <c r="T6" s="20"/>
      <c r="U6" s="20"/>
      <c r="V6" s="34"/>
      <c r="W6" s="2"/>
      <c r="X6" s="34"/>
      <c r="Y6" s="34"/>
    </row>
    <row r="7" s="1" customFormat="1" ht="15" customHeight="1" spans="2:25">
      <c r="B7" s="96" t="s">
        <v>19</v>
      </c>
      <c r="C7" s="26" t="s">
        <v>20</v>
      </c>
      <c r="D7" s="27">
        <f>SUM(D8:D9)</f>
        <v>46.02</v>
      </c>
      <c r="E7" s="27"/>
      <c r="F7" s="27"/>
      <c r="G7" s="27"/>
      <c r="H7" s="27">
        <f>SUM(H8:H9)</f>
        <v>46.02</v>
      </c>
      <c r="I7" s="28" t="s">
        <v>17</v>
      </c>
      <c r="J7" s="27">
        <f>J6</f>
        <v>1.6</v>
      </c>
      <c r="K7" s="29">
        <f>H7/J7*10000</f>
        <v>287625</v>
      </c>
      <c r="L7" s="98"/>
      <c r="M7" s="97"/>
      <c r="N7" s="32"/>
      <c r="O7" s="32"/>
      <c r="P7" s="20"/>
      <c r="Q7" s="20"/>
      <c r="R7" s="20"/>
      <c r="S7" s="20"/>
      <c r="T7" s="20"/>
      <c r="U7" s="20"/>
      <c r="V7" s="20"/>
      <c r="W7" s="2"/>
      <c r="X7" s="34"/>
      <c r="Y7" s="34"/>
    </row>
    <row r="8" ht="15" customHeight="1" spans="2:25">
      <c r="B8" s="99">
        <v>1</v>
      </c>
      <c r="C8" s="100" t="s">
        <v>197</v>
      </c>
      <c r="D8" s="101">
        <f t="shared" ref="D8:D15" si="1">ROUND(J8*K8/10000,2)</f>
        <v>44.02</v>
      </c>
      <c r="E8" s="35"/>
      <c r="F8" s="35"/>
      <c r="G8" s="102"/>
      <c r="H8" s="102">
        <f t="shared" ref="H8:H15" si="2">SUM(D8:G8)</f>
        <v>44.02</v>
      </c>
      <c r="I8" s="103" t="s">
        <v>22</v>
      </c>
      <c r="J8" s="35">
        <f>9804*0.3+38396*0.19</f>
        <v>10236.44</v>
      </c>
      <c r="K8" s="101">
        <v>43</v>
      </c>
      <c r="L8" s="104"/>
      <c r="M8" s="105"/>
      <c r="N8" s="33">
        <f>K8/1.05*1.03</f>
        <v>42.1809523809524</v>
      </c>
      <c r="O8" s="106">
        <v>14.05</v>
      </c>
      <c r="P8" s="20"/>
      <c r="Q8" s="20"/>
      <c r="R8" s="20"/>
      <c r="S8" s="20"/>
      <c r="T8" s="20"/>
      <c r="U8" s="20"/>
      <c r="W8" s="2"/>
    </row>
    <row r="9" ht="15" customHeight="1" spans="2:25">
      <c r="B9" s="99">
        <v>2</v>
      </c>
      <c r="C9" s="100" t="s">
        <v>198</v>
      </c>
      <c r="D9" s="101">
        <f t="shared" si="1"/>
        <v>2</v>
      </c>
      <c r="E9" s="21"/>
      <c r="F9" s="21"/>
      <c r="G9" s="103"/>
      <c r="H9" s="102">
        <f t="shared" si="2"/>
        <v>2</v>
      </c>
      <c r="I9" s="103" t="s">
        <v>27</v>
      </c>
      <c r="J9" s="35">
        <v>20020</v>
      </c>
      <c r="K9" s="101">
        <v>1</v>
      </c>
      <c r="L9" s="18"/>
      <c r="M9" s="105"/>
      <c r="N9" s="33">
        <f>K9/1.05*1.03</f>
        <v>0.980952380952381</v>
      </c>
      <c r="O9" s="106">
        <v>14.67</v>
      </c>
      <c r="P9" s="20"/>
      <c r="Q9" s="20"/>
      <c r="R9" s="20"/>
      <c r="S9" s="20"/>
      <c r="T9" s="20"/>
      <c r="U9" s="20"/>
      <c r="W9" s="2"/>
    </row>
    <row r="10" s="1" customFormat="1" ht="15" customHeight="1" spans="2:25">
      <c r="B10" s="96" t="s">
        <v>39</v>
      </c>
      <c r="C10" s="26" t="s">
        <v>40</v>
      </c>
      <c r="D10" s="27">
        <f>SUM(D11:D31)</f>
        <v>2616.32</v>
      </c>
      <c r="E10" s="27"/>
      <c r="F10" s="27"/>
      <c r="G10" s="27"/>
      <c r="H10" s="27">
        <f>SUM(H11:H31)</f>
        <v>2616.32</v>
      </c>
      <c r="I10" s="28" t="s">
        <v>27</v>
      </c>
      <c r="J10" s="27">
        <f>J16+J26</f>
        <v>45972</v>
      </c>
      <c r="K10" s="29">
        <f>H10*10000/J10</f>
        <v>569.111633168015</v>
      </c>
      <c r="L10" s="107"/>
      <c r="M10" s="97"/>
      <c r="N10" s="32"/>
      <c r="O10" s="32"/>
      <c r="P10" s="20"/>
      <c r="Q10" s="20"/>
      <c r="R10" s="20"/>
      <c r="S10" s="20"/>
      <c r="T10" s="20"/>
      <c r="U10" s="20"/>
      <c r="V10" s="34"/>
      <c r="W10" s="2"/>
      <c r="X10" s="34"/>
      <c r="Y10" s="34"/>
    </row>
    <row r="11" s="83" customFormat="1" ht="15" customHeight="1" spans="2:25">
      <c r="B11" s="108">
        <v>1</v>
      </c>
      <c r="C11" s="109" t="s">
        <v>199</v>
      </c>
      <c r="D11" s="110">
        <f t="shared" si="1"/>
        <v>224.24</v>
      </c>
      <c r="E11" s="111"/>
      <c r="F11" s="111"/>
      <c r="G11" s="112"/>
      <c r="H11" s="113">
        <f t="shared" si="2"/>
        <v>224.24</v>
      </c>
      <c r="I11" s="112" t="s">
        <v>27</v>
      </c>
      <c r="J11" s="114">
        <v>36168</v>
      </c>
      <c r="K11" s="110">
        <v>62</v>
      </c>
      <c r="L11" s="115"/>
      <c r="M11" s="116"/>
      <c r="N11" s="117">
        <f t="shared" ref="N11:N23" si="3">K11/1.05*1.03</f>
        <v>60.8190476190476</v>
      </c>
      <c r="O11" s="118">
        <v>47.411</v>
      </c>
      <c r="P11" s="119">
        <f>J11*0.62</f>
        <v>22424.16</v>
      </c>
      <c r="Q11" s="119"/>
      <c r="R11" s="119"/>
      <c r="S11" s="119"/>
      <c r="T11" s="119"/>
      <c r="U11" s="119"/>
      <c r="V11" s="120"/>
      <c r="X11" s="120"/>
      <c r="Y11" s="120"/>
    </row>
    <row r="12" s="83" customFormat="1" ht="15" customHeight="1" spans="2:25">
      <c r="B12" s="121">
        <f>B11+1</f>
        <v>2</v>
      </c>
      <c r="C12" s="122" t="s">
        <v>200</v>
      </c>
      <c r="D12" s="110">
        <f t="shared" si="1"/>
        <v>29.41</v>
      </c>
      <c r="E12" s="123"/>
      <c r="F12" s="123"/>
      <c r="G12" s="124"/>
      <c r="H12" s="113">
        <f t="shared" si="2"/>
        <v>29.41</v>
      </c>
      <c r="I12" s="125" t="s">
        <v>27</v>
      </c>
      <c r="J12" s="114">
        <v>9804</v>
      </c>
      <c r="K12" s="110">
        <v>30</v>
      </c>
      <c r="L12" s="126"/>
      <c r="M12" s="116"/>
      <c r="N12" s="117">
        <f t="shared" si="3"/>
        <v>29.4285714285714</v>
      </c>
      <c r="O12" s="118">
        <v>83.38</v>
      </c>
      <c r="P12" s="119">
        <f>J12*0.36</f>
        <v>3529.44</v>
      </c>
      <c r="Q12" s="119"/>
      <c r="R12" s="119"/>
      <c r="S12" s="119"/>
      <c r="T12" s="119"/>
      <c r="U12" s="119"/>
      <c r="V12" s="120"/>
      <c r="X12" s="120"/>
      <c r="Y12" s="120"/>
    </row>
    <row r="13" ht="15" customHeight="1" spans="2:25">
      <c r="B13" s="127">
        <f t="shared" ref="B13:B31" si="4">B12+1</f>
        <v>3</v>
      </c>
      <c r="C13" s="128" t="s">
        <v>201</v>
      </c>
      <c r="D13" s="101">
        <f t="shared" si="1"/>
        <v>4.48</v>
      </c>
      <c r="E13" s="129"/>
      <c r="F13" s="129"/>
      <c r="G13" s="130"/>
      <c r="H13" s="102">
        <f t="shared" si="2"/>
        <v>4.48</v>
      </c>
      <c r="I13" s="131" t="s">
        <v>34</v>
      </c>
      <c r="J13" s="35">
        <v>3448</v>
      </c>
      <c r="K13" s="101">
        <v>13</v>
      </c>
      <c r="L13" s="132"/>
      <c r="M13" s="105"/>
      <c r="N13" s="33">
        <f t="shared" si="3"/>
        <v>12.752380952381</v>
      </c>
      <c r="O13" s="133">
        <v>78.762</v>
      </c>
      <c r="P13" s="20"/>
      <c r="Q13" s="20"/>
      <c r="R13" s="20"/>
      <c r="S13" s="20"/>
      <c r="T13" s="20"/>
      <c r="U13" s="20"/>
      <c r="W13" s="2"/>
    </row>
    <row r="14" ht="15" customHeight="1" spans="2:25">
      <c r="B14" s="127">
        <f t="shared" si="4"/>
        <v>4</v>
      </c>
      <c r="C14" s="128" t="s">
        <v>202</v>
      </c>
      <c r="D14" s="101">
        <f t="shared" si="1"/>
        <v>2.7</v>
      </c>
      <c r="E14" s="129"/>
      <c r="F14" s="129"/>
      <c r="G14" s="130"/>
      <c r="H14" s="102">
        <f t="shared" si="2"/>
        <v>2.7</v>
      </c>
      <c r="I14" s="131" t="s">
        <v>34</v>
      </c>
      <c r="J14" s="35">
        <v>3377</v>
      </c>
      <c r="K14" s="101">
        <v>8</v>
      </c>
      <c r="L14" s="132"/>
      <c r="M14" s="105"/>
      <c r="N14" s="33">
        <f t="shared" si="3"/>
        <v>7.84761904761905</v>
      </c>
      <c r="O14" s="133">
        <v>3.434</v>
      </c>
      <c r="P14" s="20"/>
      <c r="Q14" s="20"/>
      <c r="R14" s="20"/>
      <c r="S14" s="20"/>
      <c r="T14" s="20"/>
      <c r="U14" s="20"/>
      <c r="W14" s="2"/>
    </row>
    <row r="15" ht="15" customHeight="1" spans="2:25">
      <c r="B15" s="127">
        <f t="shared" si="4"/>
        <v>5</v>
      </c>
      <c r="C15" s="128" t="s">
        <v>203</v>
      </c>
      <c r="D15" s="101">
        <f t="shared" si="1"/>
        <v>72.68</v>
      </c>
      <c r="E15" s="129"/>
      <c r="F15" s="129"/>
      <c r="G15" s="130"/>
      <c r="H15" s="102">
        <f t="shared" si="2"/>
        <v>72.68</v>
      </c>
      <c r="I15" s="131" t="s">
        <v>34</v>
      </c>
      <c r="J15" s="35">
        <v>3160</v>
      </c>
      <c r="K15" s="101">
        <v>230</v>
      </c>
      <c r="L15" s="132"/>
      <c r="M15" s="105"/>
      <c r="N15" s="33">
        <f t="shared" si="3"/>
        <v>225.619047619048</v>
      </c>
      <c r="O15" s="133">
        <v>21.646</v>
      </c>
      <c r="P15" s="20"/>
      <c r="Q15" s="20"/>
      <c r="R15" s="20"/>
      <c r="S15" s="20"/>
      <c r="T15" s="20"/>
      <c r="U15" s="20"/>
      <c r="W15" s="2"/>
    </row>
    <row r="16" ht="15" customHeight="1" spans="2:25">
      <c r="B16" s="127">
        <f t="shared" si="4"/>
        <v>6</v>
      </c>
      <c r="C16" s="128" t="s">
        <v>204</v>
      </c>
      <c r="D16" s="101">
        <f t="shared" ref="D16:D19" si="5">ROUND(J16*K16/10000,2)</f>
        <v>379.76</v>
      </c>
      <c r="E16" s="129"/>
      <c r="F16" s="129"/>
      <c r="G16" s="130"/>
      <c r="H16" s="102">
        <f t="shared" ref="H16:H19" si="6">SUM(D16:G16)</f>
        <v>379.76</v>
      </c>
      <c r="I16" s="131" t="s">
        <v>27</v>
      </c>
      <c r="J16" s="35">
        <v>36168</v>
      </c>
      <c r="K16" s="101">
        <v>105</v>
      </c>
      <c r="L16" s="132"/>
      <c r="M16" s="105"/>
      <c r="N16" s="33">
        <f t="shared" si="3"/>
        <v>103</v>
      </c>
      <c r="O16" s="133">
        <v>6.15</v>
      </c>
      <c r="P16" s="20"/>
      <c r="Q16" s="20"/>
      <c r="R16" s="20"/>
      <c r="S16" s="20"/>
      <c r="T16" s="20"/>
      <c r="U16" s="20"/>
      <c r="W16" s="2"/>
    </row>
    <row r="17" ht="15" customHeight="1" spans="2:25">
      <c r="B17" s="127">
        <f t="shared" si="4"/>
        <v>7</v>
      </c>
      <c r="C17" s="128" t="s">
        <v>205</v>
      </c>
      <c r="D17" s="101">
        <f t="shared" si="5"/>
        <v>0</v>
      </c>
      <c r="E17" s="129"/>
      <c r="F17" s="129"/>
      <c r="G17" s="130"/>
      <c r="H17" s="102">
        <f t="shared" si="6"/>
        <v>0</v>
      </c>
      <c r="I17" s="131" t="s">
        <v>27</v>
      </c>
      <c r="J17" s="35">
        <v>0</v>
      </c>
      <c r="K17" s="101">
        <v>98</v>
      </c>
      <c r="L17" s="132"/>
      <c r="M17" s="105"/>
      <c r="N17" s="33">
        <f t="shared" si="3"/>
        <v>96.1333333333333</v>
      </c>
      <c r="O17" s="133">
        <v>99.778</v>
      </c>
      <c r="P17" s="20"/>
      <c r="Q17" s="20"/>
      <c r="R17" s="20"/>
      <c r="S17" s="20"/>
      <c r="T17" s="20"/>
      <c r="U17" s="20"/>
      <c r="W17" s="2"/>
    </row>
    <row r="18" ht="15" customHeight="1" spans="2:25">
      <c r="B18" s="127">
        <f t="shared" si="4"/>
        <v>8</v>
      </c>
      <c r="C18" s="128" t="s">
        <v>206</v>
      </c>
      <c r="D18" s="101">
        <f t="shared" si="5"/>
        <v>466.57</v>
      </c>
      <c r="E18" s="129"/>
      <c r="F18" s="129"/>
      <c r="G18" s="130"/>
      <c r="H18" s="102">
        <f t="shared" si="6"/>
        <v>466.57</v>
      </c>
      <c r="I18" s="131" t="s">
        <v>27</v>
      </c>
      <c r="J18" s="35">
        <v>36168</v>
      </c>
      <c r="K18" s="101">
        <v>129</v>
      </c>
      <c r="L18" s="132"/>
      <c r="M18" s="105"/>
      <c r="N18" s="33">
        <f t="shared" si="3"/>
        <v>126.542857142857</v>
      </c>
      <c r="O18" s="133">
        <v>95.083</v>
      </c>
      <c r="P18" s="20"/>
      <c r="Q18" s="20"/>
      <c r="R18" s="20"/>
      <c r="S18" s="20"/>
      <c r="T18" s="20"/>
      <c r="U18" s="20"/>
      <c r="W18" s="2"/>
    </row>
    <row r="19" ht="15" customHeight="1" spans="2:25">
      <c r="B19" s="127">
        <f t="shared" si="4"/>
        <v>9</v>
      </c>
      <c r="C19" s="128" t="s">
        <v>207</v>
      </c>
      <c r="D19" s="101">
        <f t="shared" si="5"/>
        <v>0</v>
      </c>
      <c r="E19" s="129"/>
      <c r="F19" s="129"/>
      <c r="G19" s="130"/>
      <c r="H19" s="102">
        <f t="shared" si="6"/>
        <v>0</v>
      </c>
      <c r="I19" s="131" t="s">
        <v>27</v>
      </c>
      <c r="J19" s="35">
        <f>SUM(P19:T19)</f>
        <v>0</v>
      </c>
      <c r="K19" s="101">
        <v>132</v>
      </c>
      <c r="L19" s="132"/>
      <c r="M19" s="105"/>
      <c r="N19" s="33">
        <f t="shared" si="3"/>
        <v>129.485714285714</v>
      </c>
      <c r="O19" s="133">
        <v>37.543</v>
      </c>
      <c r="P19" s="20"/>
      <c r="Q19" s="20"/>
      <c r="R19" s="20"/>
      <c r="S19" s="20"/>
      <c r="T19" s="20"/>
      <c r="U19" s="20"/>
      <c r="W19" s="2"/>
    </row>
    <row r="20" ht="15" customHeight="1" spans="2:25">
      <c r="B20" s="127">
        <f t="shared" si="4"/>
        <v>10</v>
      </c>
      <c r="C20" s="128" t="s">
        <v>208</v>
      </c>
      <c r="D20" s="101">
        <f t="shared" ref="D20:D25" si="7">ROUND(J20*K20/10000,2)</f>
        <v>79.57</v>
      </c>
      <c r="E20" s="129"/>
      <c r="F20" s="129"/>
      <c r="G20" s="130"/>
      <c r="H20" s="102">
        <f t="shared" ref="H20:H25" si="8">SUM(D20:G20)</f>
        <v>79.57</v>
      </c>
      <c r="I20" s="131" t="s">
        <v>27</v>
      </c>
      <c r="J20" s="35">
        <v>36168</v>
      </c>
      <c r="K20" s="101">
        <v>22</v>
      </c>
      <c r="L20" s="132"/>
      <c r="M20" s="105"/>
      <c r="N20" s="33">
        <f t="shared" si="3"/>
        <v>21.5809523809524</v>
      </c>
      <c r="O20" s="133">
        <v>136.246</v>
      </c>
      <c r="P20" s="20"/>
      <c r="Q20" s="20"/>
      <c r="R20" s="20"/>
      <c r="S20" s="20"/>
      <c r="T20" s="20"/>
      <c r="U20" s="20"/>
      <c r="W20" s="2"/>
    </row>
    <row r="21" ht="15" customHeight="1" spans="2:25">
      <c r="B21" s="127">
        <f t="shared" si="4"/>
        <v>11</v>
      </c>
      <c r="C21" s="128" t="s">
        <v>209</v>
      </c>
      <c r="D21" s="101">
        <f t="shared" si="7"/>
        <v>379.76</v>
      </c>
      <c r="E21" s="129"/>
      <c r="F21" s="129"/>
      <c r="G21" s="130"/>
      <c r="H21" s="102">
        <f t="shared" si="8"/>
        <v>379.76</v>
      </c>
      <c r="I21" s="131" t="s">
        <v>27</v>
      </c>
      <c r="J21" s="35">
        <v>36168</v>
      </c>
      <c r="K21" s="101">
        <v>105</v>
      </c>
      <c r="L21" s="132"/>
      <c r="M21" s="105"/>
      <c r="N21" s="33">
        <f t="shared" si="3"/>
        <v>103</v>
      </c>
      <c r="O21" s="133">
        <v>99.778</v>
      </c>
      <c r="P21" s="20"/>
      <c r="Q21" s="20"/>
      <c r="R21" s="20"/>
      <c r="S21" s="20"/>
      <c r="T21" s="20"/>
      <c r="U21" s="20"/>
      <c r="W21" s="2"/>
    </row>
    <row r="22" ht="15" customHeight="1" spans="2:25">
      <c r="B22" s="127">
        <f t="shared" si="4"/>
        <v>12</v>
      </c>
      <c r="C22" s="128" t="s">
        <v>210</v>
      </c>
      <c r="D22" s="101">
        <f t="shared" si="7"/>
        <v>0</v>
      </c>
      <c r="E22" s="129"/>
      <c r="F22" s="129"/>
      <c r="G22" s="130"/>
      <c r="H22" s="102">
        <f t="shared" si="8"/>
        <v>0</v>
      </c>
      <c r="I22" s="131" t="s">
        <v>27</v>
      </c>
      <c r="J22" s="35">
        <f>SUM(P22:T22)</f>
        <v>0</v>
      </c>
      <c r="K22" s="101">
        <v>99</v>
      </c>
      <c r="L22" s="132"/>
      <c r="M22" s="105"/>
      <c r="N22" s="33">
        <f t="shared" si="3"/>
        <v>97.1142857142857</v>
      </c>
      <c r="O22" s="133">
        <v>49.107</v>
      </c>
      <c r="P22" s="20"/>
      <c r="Q22" s="20"/>
      <c r="R22" s="20"/>
      <c r="S22" s="20"/>
      <c r="T22" s="20"/>
      <c r="U22" s="20"/>
      <c r="W22" s="2"/>
    </row>
    <row r="23" ht="15" customHeight="1" spans="2:25">
      <c r="B23" s="127">
        <f t="shared" si="4"/>
        <v>13</v>
      </c>
      <c r="C23" s="128" t="s">
        <v>211</v>
      </c>
      <c r="D23" s="101">
        <f t="shared" si="7"/>
        <v>340.34</v>
      </c>
      <c r="E23" s="129"/>
      <c r="F23" s="129"/>
      <c r="G23" s="130"/>
      <c r="H23" s="102">
        <f t="shared" si="8"/>
        <v>340.34</v>
      </c>
      <c r="I23" s="131" t="s">
        <v>27</v>
      </c>
      <c r="J23" s="35">
        <v>37400</v>
      </c>
      <c r="K23" s="101">
        <v>91</v>
      </c>
      <c r="L23" s="132"/>
      <c r="M23" s="105"/>
      <c r="N23" s="33">
        <f t="shared" si="3"/>
        <v>89.2666666666667</v>
      </c>
      <c r="O23" s="133">
        <v>49.107</v>
      </c>
      <c r="P23" s="20"/>
      <c r="Q23" s="20"/>
      <c r="R23" s="20"/>
      <c r="S23" s="20"/>
      <c r="T23" s="20"/>
      <c r="U23" s="20"/>
      <c r="W23" s="2"/>
    </row>
    <row r="24" ht="15" customHeight="1" spans="2:25">
      <c r="B24" s="127">
        <f t="shared" si="4"/>
        <v>14</v>
      </c>
      <c r="C24" s="128" t="s">
        <v>212</v>
      </c>
      <c r="D24" s="101">
        <f t="shared" si="7"/>
        <v>0</v>
      </c>
      <c r="E24" s="129"/>
      <c r="F24" s="129"/>
      <c r="G24" s="130"/>
      <c r="H24" s="102">
        <f t="shared" si="8"/>
        <v>0</v>
      </c>
      <c r="I24" s="131" t="s">
        <v>27</v>
      </c>
      <c r="J24" s="35">
        <f>SUM(P24:T24)</f>
        <v>0</v>
      </c>
      <c r="K24" s="101">
        <v>56</v>
      </c>
      <c r="L24" s="132"/>
      <c r="M24" s="105"/>
      <c r="N24" s="33"/>
      <c r="O24" s="133"/>
      <c r="P24" s="20"/>
      <c r="Q24" s="20"/>
      <c r="R24" s="20"/>
      <c r="S24" s="20"/>
      <c r="T24" s="20"/>
      <c r="U24" s="20"/>
      <c r="W24" s="2"/>
    </row>
    <row r="25" ht="15" customHeight="1" spans="2:25">
      <c r="B25" s="127">
        <f t="shared" si="4"/>
        <v>15</v>
      </c>
      <c r="C25" s="128" t="s">
        <v>213</v>
      </c>
      <c r="D25" s="101">
        <f t="shared" si="7"/>
        <v>165.1</v>
      </c>
      <c r="E25" s="129"/>
      <c r="F25" s="129"/>
      <c r="G25" s="130"/>
      <c r="H25" s="102">
        <f t="shared" si="8"/>
        <v>165.1</v>
      </c>
      <c r="I25" s="131" t="s">
        <v>27</v>
      </c>
      <c r="J25" s="35">
        <v>38396</v>
      </c>
      <c r="K25" s="101">
        <v>43</v>
      </c>
      <c r="L25" s="132"/>
      <c r="M25" s="105"/>
      <c r="N25" s="33"/>
      <c r="O25" s="133"/>
      <c r="P25" s="20"/>
      <c r="Q25" s="20"/>
      <c r="R25" s="20"/>
      <c r="S25" s="20"/>
      <c r="T25" s="20"/>
      <c r="U25" s="20"/>
      <c r="W25" s="2"/>
    </row>
    <row r="26" ht="15" customHeight="1" spans="2:25">
      <c r="B26" s="127">
        <f t="shared" si="4"/>
        <v>16</v>
      </c>
      <c r="C26" s="134" t="s">
        <v>214</v>
      </c>
      <c r="D26" s="101">
        <f t="shared" ref="D26:D31" si="9">ROUND(J26*K26/10000,2)</f>
        <v>281.37</v>
      </c>
      <c r="E26" s="129"/>
      <c r="F26" s="129"/>
      <c r="G26" s="130"/>
      <c r="H26" s="102">
        <f t="shared" ref="H26:H31" si="10">SUM(D26:G26)</f>
        <v>281.37</v>
      </c>
      <c r="I26" s="131" t="s">
        <v>27</v>
      </c>
      <c r="J26" s="35">
        <v>9804</v>
      </c>
      <c r="K26" s="101">
        <v>287</v>
      </c>
      <c r="L26" s="132"/>
      <c r="M26" s="105"/>
      <c r="N26" s="33">
        <f t="shared" ref="N26:N31" si="11">K26/1.05*1.03</f>
        <v>281.533333333333</v>
      </c>
      <c r="O26" s="133">
        <v>279.035</v>
      </c>
      <c r="P26" s="20"/>
      <c r="Q26" s="20"/>
      <c r="R26" s="20"/>
      <c r="S26" s="20"/>
      <c r="T26" s="20"/>
      <c r="U26" s="20"/>
      <c r="W26" s="2"/>
    </row>
    <row r="27" ht="15" customHeight="1" spans="2:25">
      <c r="B27" s="127">
        <f t="shared" si="4"/>
        <v>17</v>
      </c>
      <c r="C27" s="128" t="s">
        <v>215</v>
      </c>
      <c r="D27" s="101">
        <f t="shared" si="9"/>
        <v>93.44</v>
      </c>
      <c r="E27" s="129"/>
      <c r="F27" s="129"/>
      <c r="G27" s="130"/>
      <c r="H27" s="102">
        <f t="shared" si="10"/>
        <v>93.44</v>
      </c>
      <c r="I27" s="131" t="s">
        <v>34</v>
      </c>
      <c r="J27" s="35">
        <v>3448</v>
      </c>
      <c r="K27" s="101">
        <v>271</v>
      </c>
      <c r="L27" s="132"/>
      <c r="M27" s="105"/>
      <c r="N27" s="33">
        <f t="shared" si="11"/>
        <v>265.838095238095</v>
      </c>
      <c r="O27" s="133">
        <v>161.403</v>
      </c>
      <c r="P27" s="20"/>
      <c r="Q27" s="20"/>
      <c r="R27" s="20"/>
      <c r="S27" s="20"/>
      <c r="T27" s="20"/>
      <c r="U27" s="20"/>
      <c r="W27" s="2"/>
    </row>
    <row r="28" ht="15" customHeight="1" spans="2:25">
      <c r="B28" s="127">
        <f t="shared" si="4"/>
        <v>18</v>
      </c>
      <c r="C28" s="128" t="s">
        <v>216</v>
      </c>
      <c r="D28" s="101">
        <f t="shared" si="9"/>
        <v>24.65</v>
      </c>
      <c r="E28" s="129"/>
      <c r="F28" s="129"/>
      <c r="G28" s="130"/>
      <c r="H28" s="102">
        <f t="shared" si="10"/>
        <v>24.65</v>
      </c>
      <c r="I28" s="131" t="s">
        <v>34</v>
      </c>
      <c r="J28" s="35">
        <v>3377</v>
      </c>
      <c r="K28" s="101">
        <v>73</v>
      </c>
      <c r="L28" s="132"/>
      <c r="M28" s="105"/>
      <c r="N28" s="33">
        <f t="shared" si="11"/>
        <v>71.6095238095238</v>
      </c>
      <c r="O28" s="133">
        <v>74.491</v>
      </c>
      <c r="P28" s="20"/>
      <c r="Q28" s="20"/>
      <c r="R28" s="20"/>
      <c r="S28" s="20"/>
      <c r="T28" s="20"/>
      <c r="U28" s="20"/>
      <c r="W28" s="2"/>
    </row>
    <row r="29" ht="15" customHeight="1" spans="2:25">
      <c r="B29" s="127">
        <f t="shared" si="4"/>
        <v>19</v>
      </c>
      <c r="C29" s="134" t="s">
        <v>217</v>
      </c>
      <c r="D29" s="101">
        <f t="shared" si="9"/>
        <v>1.82</v>
      </c>
      <c r="E29" s="129"/>
      <c r="F29" s="129"/>
      <c r="G29" s="130"/>
      <c r="H29" s="102">
        <f t="shared" si="10"/>
        <v>1.82</v>
      </c>
      <c r="I29" s="131" t="s">
        <v>119</v>
      </c>
      <c r="J29" s="35">
        <v>10</v>
      </c>
      <c r="K29" s="101">
        <v>1815</v>
      </c>
      <c r="L29" s="132"/>
      <c r="M29" s="105"/>
      <c r="N29" s="33">
        <f t="shared" si="11"/>
        <v>1780.42857142857</v>
      </c>
      <c r="O29" s="133">
        <v>1838</v>
      </c>
      <c r="P29" s="20"/>
      <c r="Q29" s="20"/>
      <c r="R29" s="20"/>
      <c r="S29" s="20"/>
      <c r="T29" s="20"/>
      <c r="U29" s="20"/>
      <c r="W29" s="2"/>
    </row>
    <row r="30" ht="15" customHeight="1" spans="2:25">
      <c r="B30" s="127">
        <f t="shared" si="4"/>
        <v>20</v>
      </c>
      <c r="C30" s="134" t="s">
        <v>218</v>
      </c>
      <c r="D30" s="101">
        <f t="shared" si="9"/>
        <v>27.83</v>
      </c>
      <c r="E30" s="129"/>
      <c r="F30" s="129"/>
      <c r="G30" s="130"/>
      <c r="H30" s="102">
        <f t="shared" si="10"/>
        <v>27.83</v>
      </c>
      <c r="I30" s="131" t="s">
        <v>119</v>
      </c>
      <c r="J30" s="35">
        <v>100</v>
      </c>
      <c r="K30" s="101">
        <v>2783</v>
      </c>
      <c r="L30" s="132"/>
      <c r="M30" s="105"/>
      <c r="N30" s="33">
        <f t="shared" si="11"/>
        <v>2729.99047619048</v>
      </c>
      <c r="O30" s="133">
        <v>1838</v>
      </c>
      <c r="P30" s="20"/>
      <c r="Q30" s="20"/>
      <c r="R30" s="20"/>
      <c r="S30" s="20"/>
      <c r="T30" s="20"/>
      <c r="U30" s="20"/>
      <c r="W30" s="2"/>
    </row>
    <row r="31" ht="15" customHeight="1" spans="2:25">
      <c r="B31" s="127">
        <f t="shared" si="4"/>
        <v>21</v>
      </c>
      <c r="C31" s="134" t="s">
        <v>219</v>
      </c>
      <c r="D31" s="101">
        <f t="shared" si="9"/>
        <v>42.6</v>
      </c>
      <c r="E31" s="129"/>
      <c r="F31" s="129"/>
      <c r="G31" s="130"/>
      <c r="H31" s="102">
        <f t="shared" si="10"/>
        <v>42.6</v>
      </c>
      <c r="I31" s="131" t="s">
        <v>119</v>
      </c>
      <c r="J31" s="35">
        <v>170</v>
      </c>
      <c r="K31" s="101">
        <v>2506</v>
      </c>
      <c r="L31" s="132"/>
      <c r="M31" s="105"/>
      <c r="N31" s="33">
        <f t="shared" si="11"/>
        <v>2458.26666666667</v>
      </c>
      <c r="O31" s="133">
        <v>1838</v>
      </c>
      <c r="P31" s="20"/>
      <c r="Q31" s="20"/>
      <c r="R31" s="20"/>
      <c r="S31" s="20"/>
      <c r="T31" s="20"/>
      <c r="U31" s="20"/>
      <c r="W31" s="2"/>
    </row>
    <row r="32" s="84" customFormat="1" ht="15" customHeight="1" spans="2:25">
      <c r="B32" s="135" t="s">
        <v>45</v>
      </c>
      <c r="C32" s="136" t="s">
        <v>68</v>
      </c>
      <c r="D32" s="137">
        <f t="shared" ref="D32:H32" si="12">SUM(D33:D41)</f>
        <v>0</v>
      </c>
      <c r="E32" s="137">
        <f t="shared" si="12"/>
        <v>0</v>
      </c>
      <c r="F32" s="137">
        <f t="shared" si="12"/>
        <v>0</v>
      </c>
      <c r="G32" s="137">
        <f t="shared" si="12"/>
        <v>0</v>
      </c>
      <c r="H32" s="137">
        <f t="shared" si="12"/>
        <v>0</v>
      </c>
      <c r="I32" s="138" t="s">
        <v>17</v>
      </c>
      <c r="J32" s="137">
        <f>J7</f>
        <v>1.6</v>
      </c>
      <c r="K32" s="139">
        <f>H32/J32*10000</f>
        <v>0</v>
      </c>
      <c r="L32" s="140"/>
      <c r="M32" s="141"/>
      <c r="N32" s="142"/>
      <c r="O32" s="142"/>
      <c r="P32" s="119"/>
      <c r="Q32" s="119"/>
      <c r="R32" s="119"/>
      <c r="S32" s="119"/>
      <c r="T32" s="119"/>
      <c r="U32" s="119"/>
      <c r="V32" s="143"/>
      <c r="W32" s="83"/>
      <c r="X32" s="143"/>
      <c r="Y32" s="143"/>
    </row>
    <row r="33" s="83" customFormat="1" ht="15" customHeight="1" spans="1:25">
      <c r="B33" s="121">
        <v>1</v>
      </c>
      <c r="C33" s="144" t="s">
        <v>220</v>
      </c>
      <c r="D33" s="110">
        <f t="shared" ref="D33:D41" si="13">ROUND(J33*K33/10000,2)</f>
        <v>0</v>
      </c>
      <c r="E33" s="123"/>
      <c r="F33" s="123"/>
      <c r="G33" s="124"/>
      <c r="H33" s="113">
        <f t="shared" ref="H33:H41" si="14">SUM(D33:G33)</f>
        <v>0</v>
      </c>
      <c r="I33" s="125" t="s">
        <v>34</v>
      </c>
      <c r="J33" s="114">
        <v>0</v>
      </c>
      <c r="K33" s="110">
        <v>8984</v>
      </c>
      <c r="L33" s="126"/>
      <c r="M33" s="116"/>
      <c r="N33" s="117">
        <f>K33/1.05*1.03</f>
        <v>8812.87619047619</v>
      </c>
      <c r="O33" s="118">
        <v>2823.25</v>
      </c>
      <c r="P33" s="119"/>
      <c r="Q33" s="119"/>
      <c r="R33" s="119"/>
      <c r="S33" s="119"/>
      <c r="T33" s="119"/>
      <c r="U33" s="119"/>
      <c r="V33" s="120"/>
      <c r="X33" s="120"/>
      <c r="Y33" s="120"/>
    </row>
    <row r="34" s="83" customFormat="1" ht="15" customHeight="1" spans="1:25">
      <c r="B34" s="121">
        <f t="shared" ref="B34:B41" si="15">B33+1</f>
        <v>2</v>
      </c>
      <c r="C34" s="144" t="s">
        <v>221</v>
      </c>
      <c r="D34" s="110">
        <f t="shared" si="13"/>
        <v>0</v>
      </c>
      <c r="E34" s="123"/>
      <c r="F34" s="123"/>
      <c r="G34" s="124"/>
      <c r="H34" s="113">
        <f t="shared" si="14"/>
        <v>0</v>
      </c>
      <c r="I34" s="125" t="s">
        <v>34</v>
      </c>
      <c r="J34" s="114">
        <v>0</v>
      </c>
      <c r="K34" s="110">
        <v>14152</v>
      </c>
      <c r="L34" s="126"/>
      <c r="M34" s="116"/>
      <c r="N34" s="117">
        <f>K34/1.05*1.03</f>
        <v>13882.4380952381</v>
      </c>
      <c r="O34" s="118">
        <v>2823.25</v>
      </c>
      <c r="P34" s="119"/>
      <c r="Q34" s="119"/>
      <c r="R34" s="119"/>
      <c r="S34" s="119"/>
      <c r="T34" s="119"/>
      <c r="U34" s="119"/>
      <c r="V34" s="120"/>
      <c r="X34" s="120"/>
      <c r="Y34" s="120"/>
    </row>
    <row r="35" s="83" customFormat="1" ht="15" customHeight="1" spans="1:25">
      <c r="B35" s="121">
        <f t="shared" si="15"/>
        <v>3</v>
      </c>
      <c r="C35" s="144" t="s">
        <v>222</v>
      </c>
      <c r="D35" s="110">
        <f t="shared" si="13"/>
        <v>0</v>
      </c>
      <c r="E35" s="123"/>
      <c r="F35" s="123"/>
      <c r="G35" s="124"/>
      <c r="H35" s="113">
        <f t="shared" si="14"/>
        <v>0</v>
      </c>
      <c r="I35" s="125" t="s">
        <v>34</v>
      </c>
      <c r="J35" s="114">
        <v>0</v>
      </c>
      <c r="K35" s="110">
        <v>14793</v>
      </c>
      <c r="L35" s="126"/>
      <c r="M35" s="116"/>
      <c r="N35" s="117">
        <f>K35/1.05*1.03</f>
        <v>14511.2285714286</v>
      </c>
      <c r="O35" s="118">
        <v>2823.25</v>
      </c>
      <c r="P35" s="119"/>
      <c r="Q35" s="119"/>
      <c r="R35" s="119"/>
      <c r="S35" s="119"/>
      <c r="T35" s="119"/>
      <c r="U35" s="119"/>
      <c r="V35" s="120"/>
      <c r="X35" s="120"/>
      <c r="Y35" s="120"/>
    </row>
    <row r="36" s="83" customFormat="1" ht="15" customHeight="1" spans="1:25">
      <c r="B36" s="121">
        <f t="shared" si="15"/>
        <v>4</v>
      </c>
      <c r="C36" s="144" t="s">
        <v>223</v>
      </c>
      <c r="D36" s="110">
        <f t="shared" si="13"/>
        <v>0</v>
      </c>
      <c r="E36" s="123"/>
      <c r="F36" s="123"/>
      <c r="G36" s="124"/>
      <c r="H36" s="113">
        <f t="shared" si="14"/>
        <v>0</v>
      </c>
      <c r="I36" s="125" t="s">
        <v>34</v>
      </c>
      <c r="J36" s="114">
        <v>0</v>
      </c>
      <c r="K36" s="110">
        <v>3603</v>
      </c>
      <c r="L36" s="126"/>
      <c r="M36" s="116"/>
      <c r="N36" s="117">
        <f>K36/1.05*1.03</f>
        <v>3534.37142857143</v>
      </c>
      <c r="O36" s="118">
        <v>2823.25</v>
      </c>
      <c r="P36" s="119"/>
      <c r="Q36" s="119"/>
      <c r="R36" s="119"/>
      <c r="S36" s="119"/>
      <c r="T36" s="119"/>
      <c r="U36" s="119"/>
      <c r="V36" s="120"/>
      <c r="X36" s="120"/>
      <c r="Y36" s="120"/>
    </row>
    <row r="37" s="83" customFormat="1" ht="15" customHeight="1" spans="1:25">
      <c r="B37" s="121">
        <f t="shared" si="15"/>
        <v>5</v>
      </c>
      <c r="C37" s="144" t="s">
        <v>224</v>
      </c>
      <c r="D37" s="110">
        <f t="shared" si="13"/>
        <v>0</v>
      </c>
      <c r="E37" s="123"/>
      <c r="F37" s="123"/>
      <c r="G37" s="124"/>
      <c r="H37" s="113">
        <f t="shared" si="14"/>
        <v>0</v>
      </c>
      <c r="I37" s="125" t="s">
        <v>34</v>
      </c>
      <c r="J37" s="114">
        <v>0</v>
      </c>
      <c r="K37" s="110">
        <v>723</v>
      </c>
      <c r="L37" s="126"/>
      <c r="M37" s="116"/>
      <c r="N37" s="117">
        <f>K37/1.05*1.03</f>
        <v>709.228571428571</v>
      </c>
      <c r="O37" s="118">
        <v>2823.25</v>
      </c>
      <c r="P37" s="119"/>
      <c r="Q37" s="119"/>
      <c r="R37" s="119"/>
      <c r="S37" s="119"/>
      <c r="T37" s="119"/>
      <c r="U37" s="119"/>
      <c r="V37" s="120"/>
      <c r="X37" s="120"/>
      <c r="Y37" s="120"/>
    </row>
    <row r="38" s="83" customFormat="1" ht="15" customHeight="1" spans="1:25">
      <c r="B38" s="121">
        <f t="shared" si="15"/>
        <v>6</v>
      </c>
      <c r="C38" s="144" t="s">
        <v>225</v>
      </c>
      <c r="D38" s="110">
        <f t="shared" si="13"/>
        <v>0</v>
      </c>
      <c r="E38" s="123"/>
      <c r="F38" s="123"/>
      <c r="G38" s="124"/>
      <c r="H38" s="113">
        <f t="shared" si="14"/>
        <v>0</v>
      </c>
      <c r="I38" s="125" t="s">
        <v>119</v>
      </c>
      <c r="J38" s="114">
        <v>0</v>
      </c>
      <c r="K38" s="110">
        <v>10000</v>
      </c>
      <c r="L38" s="126"/>
      <c r="M38" s="116"/>
      <c r="N38" s="117"/>
      <c r="O38" s="118"/>
      <c r="P38" s="119"/>
      <c r="Q38" s="119"/>
      <c r="R38" s="119"/>
      <c r="S38" s="119"/>
      <c r="T38" s="119"/>
      <c r="U38" s="119"/>
      <c r="V38" s="120"/>
      <c r="X38" s="120"/>
      <c r="Y38" s="120"/>
    </row>
    <row r="39" s="83" customFormat="1" ht="15" customHeight="1" spans="1:25">
      <c r="B39" s="121">
        <f t="shared" si="15"/>
        <v>7</v>
      </c>
      <c r="C39" s="144" t="s">
        <v>226</v>
      </c>
      <c r="D39" s="110">
        <f t="shared" si="13"/>
        <v>0</v>
      </c>
      <c r="E39" s="123"/>
      <c r="F39" s="123"/>
      <c r="G39" s="124"/>
      <c r="H39" s="113">
        <f t="shared" si="14"/>
        <v>0</v>
      </c>
      <c r="I39" s="125" t="s">
        <v>119</v>
      </c>
      <c r="J39" s="114">
        <v>0</v>
      </c>
      <c r="K39" s="110">
        <v>20000</v>
      </c>
      <c r="L39" s="126"/>
      <c r="M39" s="116"/>
      <c r="N39" s="117"/>
      <c r="O39" s="118"/>
      <c r="P39" s="119"/>
      <c r="Q39" s="119"/>
      <c r="R39" s="119"/>
      <c r="S39" s="119"/>
      <c r="T39" s="119"/>
      <c r="U39" s="119"/>
      <c r="V39" s="120"/>
      <c r="X39" s="120"/>
      <c r="Y39" s="120"/>
    </row>
    <row r="40" s="83" customFormat="1" ht="15" customHeight="1" spans="1:25">
      <c r="B40" s="121">
        <f t="shared" si="15"/>
        <v>8</v>
      </c>
      <c r="C40" s="144" t="s">
        <v>227</v>
      </c>
      <c r="D40" s="110">
        <f t="shared" si="13"/>
        <v>0</v>
      </c>
      <c r="E40" s="123"/>
      <c r="F40" s="123"/>
      <c r="G40" s="124"/>
      <c r="H40" s="113">
        <f t="shared" si="14"/>
        <v>0</v>
      </c>
      <c r="I40" s="125" t="s">
        <v>119</v>
      </c>
      <c r="J40" s="114">
        <v>0</v>
      </c>
      <c r="K40" s="110">
        <v>28000</v>
      </c>
      <c r="L40" s="126"/>
      <c r="M40" s="116"/>
      <c r="N40" s="117">
        <f>K40/1.05*1.03</f>
        <v>27466.6666666667</v>
      </c>
      <c r="O40" s="118">
        <v>2823.25</v>
      </c>
      <c r="P40" s="119"/>
      <c r="Q40" s="119"/>
      <c r="R40" s="119"/>
      <c r="S40" s="119"/>
      <c r="T40" s="119"/>
      <c r="U40" s="119"/>
      <c r="V40" s="120"/>
      <c r="X40" s="120"/>
      <c r="Y40" s="120"/>
    </row>
    <row r="41" s="83" customFormat="1" ht="15" customHeight="1" spans="1:25">
      <c r="B41" s="121">
        <f t="shared" si="15"/>
        <v>9</v>
      </c>
      <c r="C41" s="144" t="s">
        <v>228</v>
      </c>
      <c r="D41" s="110">
        <f t="shared" si="13"/>
        <v>0</v>
      </c>
      <c r="E41" s="123"/>
      <c r="F41" s="123"/>
      <c r="G41" s="124"/>
      <c r="H41" s="113">
        <f t="shared" si="14"/>
        <v>0</v>
      </c>
      <c r="I41" s="125" t="s">
        <v>119</v>
      </c>
      <c r="J41" s="114">
        <v>0</v>
      </c>
      <c r="K41" s="110">
        <v>1600</v>
      </c>
      <c r="L41" s="126"/>
      <c r="M41" s="116"/>
      <c r="N41" s="117">
        <f>K41/1.05*1.03</f>
        <v>1569.52380952381</v>
      </c>
      <c r="O41" s="118">
        <v>2823.25</v>
      </c>
      <c r="P41" s="119"/>
      <c r="Q41" s="119"/>
      <c r="R41" s="119"/>
      <c r="S41" s="119"/>
      <c r="T41" s="119"/>
      <c r="U41" s="119"/>
      <c r="V41" s="120"/>
      <c r="X41" s="120"/>
      <c r="Y41" s="120"/>
    </row>
    <row r="42" s="84" customFormat="1" ht="15" customHeight="1" spans="1:25">
      <c r="B42" s="135" t="s">
        <v>59</v>
      </c>
      <c r="C42" s="136" t="s">
        <v>73</v>
      </c>
      <c r="D42" s="137">
        <f t="shared" ref="D42:H42" si="16">SUM(D43:D46)</f>
        <v>303.45</v>
      </c>
      <c r="E42" s="137">
        <f t="shared" si="16"/>
        <v>0</v>
      </c>
      <c r="F42" s="137">
        <f t="shared" si="16"/>
        <v>0</v>
      </c>
      <c r="G42" s="137">
        <f t="shared" si="16"/>
        <v>0</v>
      </c>
      <c r="H42" s="137">
        <f t="shared" si="16"/>
        <v>303.45</v>
      </c>
      <c r="I42" s="138" t="s">
        <v>17</v>
      </c>
      <c r="J42" s="137">
        <f>J32</f>
        <v>1.6</v>
      </c>
      <c r="K42" s="139">
        <f>H42/J42*10000</f>
        <v>1896562.5</v>
      </c>
      <c r="L42" s="140"/>
      <c r="M42" s="141"/>
      <c r="N42" s="142"/>
      <c r="O42" s="142"/>
      <c r="P42" s="119"/>
      <c r="Q42" s="119"/>
      <c r="R42" s="119"/>
      <c r="S42" s="119"/>
      <c r="T42" s="119"/>
      <c r="U42" s="119"/>
      <c r="V42" s="143"/>
      <c r="W42" s="83"/>
      <c r="X42" s="143"/>
      <c r="Y42" s="143"/>
    </row>
    <row r="43" s="83" customFormat="1" ht="15" customHeight="1" spans="1:25">
      <c r="B43" s="121">
        <v>1</v>
      </c>
      <c r="C43" s="144" t="s">
        <v>229</v>
      </c>
      <c r="D43" s="110">
        <f>ROUND(J43*K43/10000,2)</f>
        <v>270.6</v>
      </c>
      <c r="E43" s="123"/>
      <c r="F43" s="123"/>
      <c r="G43" s="124"/>
      <c r="H43" s="113">
        <f>SUM(D43:G43)</f>
        <v>270.6</v>
      </c>
      <c r="I43" s="125" t="s">
        <v>34</v>
      </c>
      <c r="J43" s="114">
        <v>1000</v>
      </c>
      <c r="K43" s="110">
        <v>2706</v>
      </c>
      <c r="L43" s="126"/>
      <c r="M43" s="116"/>
      <c r="N43" s="117">
        <f>K43/1.05*1.03</f>
        <v>2654.45714285714</v>
      </c>
      <c r="O43" s="118">
        <v>2823.25</v>
      </c>
      <c r="P43" s="119"/>
      <c r="Q43" s="119"/>
      <c r="R43" s="119"/>
      <c r="S43" s="119"/>
      <c r="T43" s="119"/>
      <c r="U43" s="119"/>
      <c r="V43" s="120"/>
      <c r="X43" s="120"/>
      <c r="Y43" s="120"/>
    </row>
    <row r="44" s="83" customFormat="1" ht="15" customHeight="1" spans="1:25">
      <c r="B44" s="121">
        <f>B43+1</f>
        <v>2</v>
      </c>
      <c r="C44" s="144" t="s">
        <v>230</v>
      </c>
      <c r="D44" s="110">
        <f>ROUND(J44*K44/10000,2)</f>
        <v>3.1</v>
      </c>
      <c r="E44" s="123"/>
      <c r="F44" s="123"/>
      <c r="G44" s="124"/>
      <c r="H44" s="113">
        <f>SUM(D44:G44)</f>
        <v>3.1</v>
      </c>
      <c r="I44" s="125" t="s">
        <v>34</v>
      </c>
      <c r="J44" s="114">
        <v>1000</v>
      </c>
      <c r="K44" s="110">
        <v>31</v>
      </c>
      <c r="L44" s="126"/>
      <c r="M44" s="116"/>
      <c r="N44" s="117">
        <f>K44/1.05*1.03</f>
        <v>30.4095238095238</v>
      </c>
      <c r="O44" s="118">
        <v>2823.25</v>
      </c>
      <c r="P44" s="119"/>
      <c r="Q44" s="119"/>
      <c r="R44" s="119"/>
      <c r="S44" s="119"/>
      <c r="T44" s="119"/>
      <c r="U44" s="119"/>
      <c r="V44" s="120"/>
      <c r="X44" s="120"/>
      <c r="Y44" s="120"/>
    </row>
    <row r="45" s="83" customFormat="1" ht="15" customHeight="1" spans="1:25">
      <c r="B45" s="121">
        <f>B44+1</f>
        <v>3</v>
      </c>
      <c r="C45" s="144" t="s">
        <v>231</v>
      </c>
      <c r="D45" s="110">
        <f>ROUND(J45*K45/10000,2)</f>
        <v>0</v>
      </c>
      <c r="E45" s="123"/>
      <c r="F45" s="123"/>
      <c r="G45" s="124"/>
      <c r="H45" s="113">
        <f>SUM(D45:G45)</f>
        <v>0</v>
      </c>
      <c r="I45" s="125" t="s">
        <v>34</v>
      </c>
      <c r="J45" s="114">
        <v>0</v>
      </c>
      <c r="K45" s="110">
        <v>3263</v>
      </c>
      <c r="L45" s="126"/>
      <c r="M45" s="116"/>
      <c r="N45" s="117">
        <f>K45/1.05*1.03</f>
        <v>3200.84761904762</v>
      </c>
      <c r="O45" s="118">
        <v>2823.25</v>
      </c>
      <c r="P45" s="119"/>
      <c r="Q45" s="119"/>
      <c r="R45" s="119"/>
      <c r="S45" s="119"/>
      <c r="T45" s="119"/>
      <c r="U45" s="119"/>
      <c r="V45" s="120"/>
      <c r="X45" s="120"/>
      <c r="Y45" s="120"/>
    </row>
    <row r="46" s="83" customFormat="1" ht="15" customHeight="1" spans="1:25">
      <c r="B46" s="121">
        <f>B45+1</f>
        <v>4</v>
      </c>
      <c r="C46" s="144" t="s">
        <v>232</v>
      </c>
      <c r="D46" s="110">
        <f>ROUND(J46*K46/10000,2)</f>
        <v>29.75</v>
      </c>
      <c r="E46" s="123"/>
      <c r="F46" s="123"/>
      <c r="G46" s="124"/>
      <c r="H46" s="113">
        <f>SUM(D46:G46)</f>
        <v>29.75</v>
      </c>
      <c r="I46" s="125" t="s">
        <v>119</v>
      </c>
      <c r="J46" s="114">
        <v>35</v>
      </c>
      <c r="K46" s="110">
        <v>8500</v>
      </c>
      <c r="L46" s="126"/>
      <c r="M46" s="116"/>
      <c r="N46" s="117">
        <f>K46/1.05*1.03</f>
        <v>8338.09523809524</v>
      </c>
      <c r="O46" s="118">
        <v>2823.25</v>
      </c>
      <c r="P46" s="119"/>
      <c r="Q46" s="119"/>
      <c r="R46" s="119"/>
      <c r="S46" s="119"/>
      <c r="T46" s="119"/>
      <c r="U46" s="119"/>
      <c r="V46" s="120"/>
      <c r="X46" s="120"/>
      <c r="Y46" s="120"/>
    </row>
    <row r="47" s="85" customFormat="1" ht="15" customHeight="1" spans="1:25">
      <c r="B47" s="135" t="s">
        <v>63</v>
      </c>
      <c r="C47" s="136" t="s">
        <v>64</v>
      </c>
      <c r="D47" s="137">
        <f t="shared" ref="D47:H47" si="17">SUM(D48:D52)</f>
        <v>137.76</v>
      </c>
      <c r="E47" s="137">
        <f t="shared" si="17"/>
        <v>0</v>
      </c>
      <c r="F47" s="137">
        <f t="shared" si="17"/>
        <v>0</v>
      </c>
      <c r="G47" s="137">
        <f t="shared" si="17"/>
        <v>0</v>
      </c>
      <c r="H47" s="137">
        <f t="shared" si="17"/>
        <v>137.76</v>
      </c>
      <c r="I47" s="138" t="s">
        <v>17</v>
      </c>
      <c r="J47" s="137">
        <f>J42</f>
        <v>1.6</v>
      </c>
      <c r="K47" s="139">
        <f>H47/J47*10000</f>
        <v>861000</v>
      </c>
      <c r="L47" s="140"/>
      <c r="M47" s="141"/>
      <c r="N47" s="142"/>
      <c r="O47" s="142"/>
      <c r="P47" s="119"/>
      <c r="Q47" s="119"/>
      <c r="R47" s="119"/>
      <c r="S47" s="119"/>
      <c r="T47" s="119"/>
      <c r="U47" s="119"/>
      <c r="V47" s="120"/>
      <c r="W47" s="83"/>
      <c r="X47" s="145"/>
      <c r="Y47" s="145"/>
    </row>
    <row r="48" ht="15" customHeight="1" spans="1:25">
      <c r="A48" s="83"/>
      <c r="B48" s="127">
        <v>1</v>
      </c>
      <c r="C48" s="134" t="s">
        <v>233</v>
      </c>
      <c r="D48" s="101">
        <f>ROUND(J48*K48/10000,2)</f>
        <v>112.71</v>
      </c>
      <c r="E48" s="129"/>
      <c r="F48" s="129"/>
      <c r="G48" s="130"/>
      <c r="H48" s="102">
        <f>SUM(D48:G48)</f>
        <v>112.71</v>
      </c>
      <c r="I48" s="131" t="s">
        <v>34</v>
      </c>
      <c r="J48" s="35">
        <v>1300</v>
      </c>
      <c r="K48" s="101">
        <v>867</v>
      </c>
      <c r="L48" s="132"/>
      <c r="M48" s="105"/>
      <c r="N48" s="117">
        <f>K48/1.05*1.03</f>
        <v>850.485714285714</v>
      </c>
      <c r="O48" s="118">
        <v>2823.25</v>
      </c>
      <c r="P48" s="20"/>
      <c r="Q48" s="20"/>
      <c r="R48" s="20"/>
      <c r="S48" s="20"/>
      <c r="T48" s="20"/>
      <c r="U48" s="20"/>
      <c r="W48" s="2"/>
    </row>
    <row r="49" s="83" customFormat="1" ht="15" customHeight="1" spans="2:25">
      <c r="B49" s="121">
        <f>B48+1</f>
        <v>2</v>
      </c>
      <c r="C49" s="144" t="s">
        <v>234</v>
      </c>
      <c r="D49" s="110">
        <f t="shared" ref="D49:D59" si="18">ROUND(J49*K49/10000,2)</f>
        <v>5.14</v>
      </c>
      <c r="E49" s="123"/>
      <c r="F49" s="123"/>
      <c r="G49" s="124"/>
      <c r="H49" s="113">
        <f t="shared" ref="H49:H59" si="19">SUM(D49:G49)</f>
        <v>5.14</v>
      </c>
      <c r="I49" s="125" t="s">
        <v>119</v>
      </c>
      <c r="J49" s="114">
        <v>8</v>
      </c>
      <c r="K49" s="110">
        <v>6419</v>
      </c>
      <c r="L49" s="126"/>
      <c r="M49" s="116"/>
      <c r="N49" s="117">
        <f t="shared" ref="N49:N59" si="20">K49/1.05*1.03</f>
        <v>6296.73333333333</v>
      </c>
      <c r="O49" s="118">
        <v>2823.25</v>
      </c>
      <c r="P49" s="119"/>
      <c r="Q49" s="119"/>
      <c r="R49" s="119"/>
      <c r="S49" s="119"/>
      <c r="T49" s="119"/>
      <c r="U49" s="119"/>
      <c r="V49" s="120"/>
      <c r="X49" s="120"/>
      <c r="Y49" s="120"/>
    </row>
    <row r="50" s="83" customFormat="1" ht="15" customHeight="1" spans="2:25">
      <c r="B50" s="121">
        <f t="shared" ref="B50:B59" si="21">B49+1</f>
        <v>3</v>
      </c>
      <c r="C50" s="144" t="s">
        <v>235</v>
      </c>
      <c r="D50" s="110">
        <f t="shared" si="18"/>
        <v>17.09</v>
      </c>
      <c r="E50" s="123"/>
      <c r="F50" s="123"/>
      <c r="G50" s="124"/>
      <c r="H50" s="113">
        <f t="shared" si="19"/>
        <v>17.09</v>
      </c>
      <c r="I50" s="125" t="s">
        <v>119</v>
      </c>
      <c r="J50" s="114">
        <v>12</v>
      </c>
      <c r="K50" s="110">
        <v>14245</v>
      </c>
      <c r="L50" s="126"/>
      <c r="M50" s="116"/>
      <c r="N50" s="117">
        <f t="shared" si="20"/>
        <v>13973.6666666667</v>
      </c>
      <c r="O50" s="118">
        <v>2823.25</v>
      </c>
      <c r="P50" s="119"/>
      <c r="Q50" s="119"/>
      <c r="R50" s="119"/>
      <c r="S50" s="119"/>
      <c r="T50" s="119"/>
      <c r="U50" s="119"/>
      <c r="V50" s="120"/>
      <c r="X50" s="120"/>
      <c r="Y50" s="120"/>
    </row>
    <row r="51" s="83" customFormat="1" ht="15" customHeight="1" spans="2:25">
      <c r="B51" s="121">
        <f t="shared" si="21"/>
        <v>4</v>
      </c>
      <c r="C51" s="144" t="s">
        <v>236</v>
      </c>
      <c r="D51" s="110">
        <f t="shared" si="18"/>
        <v>1.3</v>
      </c>
      <c r="E51" s="123"/>
      <c r="F51" s="123"/>
      <c r="G51" s="124"/>
      <c r="H51" s="113">
        <f t="shared" si="19"/>
        <v>1.3</v>
      </c>
      <c r="I51" s="125" t="s">
        <v>119</v>
      </c>
      <c r="J51" s="114">
        <v>2</v>
      </c>
      <c r="K51" s="110">
        <v>6509</v>
      </c>
      <c r="L51" s="126"/>
      <c r="M51" s="116"/>
      <c r="N51" s="117">
        <f t="shared" si="20"/>
        <v>6385.01904761905</v>
      </c>
      <c r="O51" s="118">
        <v>2823.25</v>
      </c>
      <c r="P51" s="119"/>
      <c r="Q51" s="119"/>
      <c r="R51" s="119"/>
      <c r="S51" s="119"/>
      <c r="T51" s="119"/>
      <c r="U51" s="119"/>
      <c r="V51" s="120"/>
      <c r="X51" s="120"/>
      <c r="Y51" s="120"/>
    </row>
    <row r="52" s="83" customFormat="1" ht="15" customHeight="1" spans="2:25">
      <c r="B52" s="121">
        <f t="shared" si="21"/>
        <v>5</v>
      </c>
      <c r="C52" s="144" t="s">
        <v>237</v>
      </c>
      <c r="D52" s="110">
        <f t="shared" si="18"/>
        <v>1.52</v>
      </c>
      <c r="E52" s="123"/>
      <c r="F52" s="123"/>
      <c r="G52" s="124"/>
      <c r="H52" s="113">
        <f t="shared" si="19"/>
        <v>1.52</v>
      </c>
      <c r="I52" s="125" t="s">
        <v>119</v>
      </c>
      <c r="J52" s="114">
        <v>2</v>
      </c>
      <c r="K52" s="110">
        <v>7616</v>
      </c>
      <c r="L52" s="126"/>
      <c r="M52" s="116"/>
      <c r="N52" s="117">
        <f t="shared" si="20"/>
        <v>7470.93333333333</v>
      </c>
      <c r="O52" s="118">
        <v>2823.25</v>
      </c>
      <c r="P52" s="119"/>
      <c r="Q52" s="119"/>
      <c r="R52" s="119"/>
      <c r="S52" s="119"/>
      <c r="T52" s="119"/>
      <c r="U52" s="119"/>
      <c r="V52" s="120"/>
      <c r="X52" s="120"/>
      <c r="Y52" s="120"/>
    </row>
    <row r="53" s="86" customFormat="1" ht="15" customHeight="1" spans="2:25">
      <c r="B53" s="96" t="s">
        <v>67</v>
      </c>
      <c r="C53" s="26" t="s">
        <v>85</v>
      </c>
      <c r="D53" s="27">
        <f>SUM(D54:D59)</f>
        <v>525.54</v>
      </c>
      <c r="E53" s="27">
        <f>SUM(E54:E59)</f>
        <v>0</v>
      </c>
      <c r="F53" s="27">
        <f>SUM(F54:F59)</f>
        <v>0</v>
      </c>
      <c r="G53" s="27">
        <f>SUM(G54:G59)</f>
        <v>0</v>
      </c>
      <c r="H53" s="27">
        <f>SUM(H54:H59)</f>
        <v>525.54</v>
      </c>
      <c r="I53" s="28" t="s">
        <v>17</v>
      </c>
      <c r="J53" s="27">
        <f>J47</f>
        <v>1.6</v>
      </c>
      <c r="K53" s="29">
        <f>H53/J53*10000</f>
        <v>3284625</v>
      </c>
      <c r="L53" s="107"/>
      <c r="M53" s="97"/>
      <c r="N53" s="32"/>
      <c r="O53" s="32"/>
      <c r="P53" s="20"/>
      <c r="Q53" s="20"/>
      <c r="R53" s="20"/>
      <c r="S53" s="20"/>
      <c r="T53" s="20"/>
      <c r="U53" s="20"/>
      <c r="V53" s="6"/>
      <c r="W53" s="2"/>
      <c r="X53" s="146"/>
      <c r="Y53" s="146"/>
    </row>
    <row r="54" ht="15" customHeight="1" spans="2:25">
      <c r="B54" s="127">
        <v>1</v>
      </c>
      <c r="C54" s="134" t="s">
        <v>238</v>
      </c>
      <c r="D54" s="101">
        <f t="shared" si="18"/>
        <v>270.56</v>
      </c>
      <c r="E54" s="129"/>
      <c r="F54" s="129"/>
      <c r="G54" s="130"/>
      <c r="H54" s="102">
        <f t="shared" si="19"/>
        <v>270.56</v>
      </c>
      <c r="I54" s="131" t="s">
        <v>34</v>
      </c>
      <c r="J54" s="35">
        <v>1600</v>
      </c>
      <c r="K54" s="101">
        <v>1691</v>
      </c>
      <c r="L54" s="132"/>
      <c r="M54" s="105"/>
      <c r="N54" s="33">
        <f t="shared" si="20"/>
        <v>1658.79047619048</v>
      </c>
      <c r="O54" s="133">
        <v>2823.25</v>
      </c>
      <c r="P54" s="20"/>
      <c r="Q54" s="20"/>
      <c r="R54" s="20"/>
      <c r="S54" s="20"/>
      <c r="T54" s="20"/>
      <c r="U54" s="20"/>
      <c r="W54" s="2"/>
    </row>
    <row r="55" ht="15" customHeight="1" spans="2:25">
      <c r="B55" s="127">
        <f t="shared" si="21"/>
        <v>2</v>
      </c>
      <c r="C55" s="134" t="s">
        <v>239</v>
      </c>
      <c r="D55" s="101">
        <f t="shared" si="18"/>
        <v>79.6</v>
      </c>
      <c r="E55" s="129"/>
      <c r="F55" s="129"/>
      <c r="G55" s="130"/>
      <c r="H55" s="102">
        <f t="shared" si="19"/>
        <v>79.6</v>
      </c>
      <c r="I55" s="131" t="s">
        <v>34</v>
      </c>
      <c r="J55" s="35">
        <v>360</v>
      </c>
      <c r="K55" s="101">
        <v>2211</v>
      </c>
      <c r="L55" s="132"/>
      <c r="M55" s="105"/>
      <c r="N55" s="33">
        <f t="shared" si="20"/>
        <v>2168.88571428571</v>
      </c>
      <c r="O55" s="133">
        <v>2823.25</v>
      </c>
      <c r="P55" s="20"/>
      <c r="Q55" s="20"/>
      <c r="R55" s="20"/>
      <c r="S55" s="20"/>
      <c r="T55" s="20"/>
      <c r="U55" s="20"/>
      <c r="W55" s="2"/>
    </row>
    <row r="56" ht="15" customHeight="1" spans="2:25">
      <c r="B56" s="127">
        <f t="shared" si="21"/>
        <v>3</v>
      </c>
      <c r="C56" s="134" t="s">
        <v>240</v>
      </c>
      <c r="D56" s="101">
        <f t="shared" si="18"/>
        <v>130.74</v>
      </c>
      <c r="E56" s="129"/>
      <c r="F56" s="129"/>
      <c r="G56" s="130"/>
      <c r="H56" s="102">
        <f t="shared" si="19"/>
        <v>130.74</v>
      </c>
      <c r="I56" s="131" t="s">
        <v>119</v>
      </c>
      <c r="J56" s="35">
        <v>54</v>
      </c>
      <c r="K56" s="101">
        <v>24211</v>
      </c>
      <c r="L56" s="132"/>
      <c r="M56" s="105"/>
      <c r="N56" s="33">
        <f t="shared" si="20"/>
        <v>23749.8380952381</v>
      </c>
      <c r="O56" s="133">
        <v>2823.25</v>
      </c>
      <c r="P56" s="20"/>
      <c r="Q56" s="20"/>
      <c r="R56" s="20"/>
      <c r="S56" s="20"/>
      <c r="T56" s="20"/>
      <c r="U56" s="20"/>
      <c r="W56" s="2"/>
    </row>
    <row r="57" ht="15" customHeight="1" spans="2:25">
      <c r="B57" s="127">
        <f t="shared" si="21"/>
        <v>4</v>
      </c>
      <c r="C57" s="134" t="s">
        <v>241</v>
      </c>
      <c r="D57" s="101">
        <f t="shared" si="18"/>
        <v>29.05</v>
      </c>
      <c r="E57" s="129"/>
      <c r="F57" s="129"/>
      <c r="G57" s="130"/>
      <c r="H57" s="102">
        <f t="shared" si="19"/>
        <v>29.05</v>
      </c>
      <c r="I57" s="131" t="s">
        <v>119</v>
      </c>
      <c r="J57" s="35">
        <v>12</v>
      </c>
      <c r="K57" s="101">
        <v>24211</v>
      </c>
      <c r="L57" s="132"/>
      <c r="M57" s="105"/>
      <c r="N57" s="33">
        <f t="shared" si="20"/>
        <v>23749.8380952381</v>
      </c>
      <c r="O57" s="133">
        <v>2823.25</v>
      </c>
      <c r="P57" s="20"/>
      <c r="Q57" s="20"/>
      <c r="R57" s="20"/>
      <c r="S57" s="20"/>
      <c r="T57" s="20"/>
      <c r="U57" s="20"/>
      <c r="W57" s="2"/>
    </row>
    <row r="58" ht="15" customHeight="1" spans="2:25">
      <c r="B58" s="127">
        <f t="shared" si="21"/>
        <v>5</v>
      </c>
      <c r="C58" s="134" t="s">
        <v>242</v>
      </c>
      <c r="D58" s="101">
        <f t="shared" si="18"/>
        <v>11.76</v>
      </c>
      <c r="E58" s="129"/>
      <c r="F58" s="129"/>
      <c r="G58" s="130"/>
      <c r="H58" s="102">
        <f t="shared" si="19"/>
        <v>11.76</v>
      </c>
      <c r="I58" s="131" t="s">
        <v>34</v>
      </c>
      <c r="J58" s="35">
        <v>3920</v>
      </c>
      <c r="K58" s="101">
        <v>30</v>
      </c>
      <c r="L58" s="132"/>
      <c r="M58" s="105"/>
      <c r="N58" s="33">
        <f t="shared" si="20"/>
        <v>29.4285714285714</v>
      </c>
      <c r="O58" s="133">
        <v>2823.25</v>
      </c>
      <c r="P58" s="20"/>
      <c r="Q58" s="20"/>
      <c r="R58" s="20"/>
      <c r="S58" s="20"/>
      <c r="T58" s="20"/>
      <c r="U58" s="20"/>
      <c r="W58" s="2"/>
    </row>
    <row r="59" ht="15" customHeight="1" spans="2:25">
      <c r="B59" s="127">
        <f t="shared" si="21"/>
        <v>6</v>
      </c>
      <c r="C59" s="134" t="s">
        <v>243</v>
      </c>
      <c r="D59" s="101">
        <f t="shared" si="18"/>
        <v>3.83</v>
      </c>
      <c r="E59" s="129"/>
      <c r="F59" s="129"/>
      <c r="G59" s="130"/>
      <c r="H59" s="102">
        <f t="shared" si="19"/>
        <v>3.83</v>
      </c>
      <c r="I59" s="131" t="s">
        <v>49</v>
      </c>
      <c r="J59" s="35">
        <v>264</v>
      </c>
      <c r="K59" s="101">
        <v>145</v>
      </c>
      <c r="L59" s="132"/>
      <c r="M59" s="105"/>
      <c r="N59" s="33">
        <f t="shared" si="20"/>
        <v>142.238095238095</v>
      </c>
      <c r="O59" s="133">
        <v>2823.25</v>
      </c>
      <c r="P59" s="20"/>
      <c r="Q59" s="20"/>
      <c r="R59" s="20"/>
      <c r="S59" s="20"/>
      <c r="T59" s="20"/>
      <c r="U59" s="20"/>
      <c r="W59" s="2"/>
    </row>
    <row r="60" s="86" customFormat="1" ht="15" customHeight="1" spans="2:25">
      <c r="B60" s="96" t="s">
        <v>72</v>
      </c>
      <c r="C60" s="26" t="s">
        <v>90</v>
      </c>
      <c r="D60" s="27">
        <f>SUM(D61:D64)</f>
        <v>294.03</v>
      </c>
      <c r="E60" s="27">
        <f>SUM(E61:E64)</f>
        <v>0</v>
      </c>
      <c r="F60" s="27">
        <f>SUM(F61:F64)</f>
        <v>0</v>
      </c>
      <c r="G60" s="27">
        <f>SUM(G61:G64)</f>
        <v>0</v>
      </c>
      <c r="H60" s="27">
        <f>SUM(H61:H64)</f>
        <v>294.03</v>
      </c>
      <c r="I60" s="28" t="s">
        <v>17</v>
      </c>
      <c r="J60" s="27">
        <f>J53</f>
        <v>1.6</v>
      </c>
      <c r="K60" s="29">
        <f>H60/J60*10000</f>
        <v>1837687.5</v>
      </c>
      <c r="L60" s="107"/>
      <c r="M60" s="97"/>
      <c r="N60" s="32"/>
      <c r="O60" s="32"/>
      <c r="P60" s="20"/>
      <c r="Q60" s="20"/>
      <c r="R60" s="20"/>
      <c r="S60" s="20"/>
      <c r="T60" s="20"/>
      <c r="U60" s="20"/>
      <c r="V60" s="6"/>
      <c r="W60" s="2"/>
      <c r="X60" s="146"/>
      <c r="Y60" s="146"/>
    </row>
    <row r="61" ht="15" customHeight="1" spans="2:25">
      <c r="B61" s="127">
        <v>1</v>
      </c>
      <c r="C61" s="134" t="s">
        <v>244</v>
      </c>
      <c r="D61" s="101">
        <f t="shared" ref="D61:D75" si="22">ROUND(J61*K61/10000,2)</f>
        <v>161.28</v>
      </c>
      <c r="E61" s="129"/>
      <c r="F61" s="129"/>
      <c r="G61" s="130"/>
      <c r="H61" s="102">
        <f t="shared" ref="H61:H75" si="23">SUM(D61:G61)</f>
        <v>161.28</v>
      </c>
      <c r="I61" s="131" t="s">
        <v>34</v>
      </c>
      <c r="J61" s="35">
        <v>1600</v>
      </c>
      <c r="K61" s="101">
        <v>1008</v>
      </c>
      <c r="L61" s="132"/>
      <c r="M61" s="105"/>
      <c r="N61" s="33">
        <f t="shared" ref="N61:N75" si="24">K61/1.05*1.03</f>
        <v>988.8</v>
      </c>
      <c r="O61" s="133">
        <v>2823.25</v>
      </c>
      <c r="P61" s="20"/>
      <c r="Q61" s="20"/>
      <c r="R61" s="20"/>
      <c r="S61" s="20"/>
      <c r="T61" s="20"/>
      <c r="U61" s="20"/>
      <c r="W61" s="2"/>
    </row>
    <row r="62" ht="15" customHeight="1" spans="2:25">
      <c r="B62" s="127">
        <f t="shared" ref="B62:B75" si="25">B61+1</f>
        <v>2</v>
      </c>
      <c r="C62" s="134" t="s">
        <v>245</v>
      </c>
      <c r="D62" s="101">
        <f t="shared" si="22"/>
        <v>55.12</v>
      </c>
      <c r="E62" s="129"/>
      <c r="F62" s="129"/>
      <c r="G62" s="130"/>
      <c r="H62" s="102">
        <f t="shared" si="23"/>
        <v>55.12</v>
      </c>
      <c r="I62" s="131" t="s">
        <v>34</v>
      </c>
      <c r="J62" s="35">
        <v>360</v>
      </c>
      <c r="K62" s="101">
        <v>1531</v>
      </c>
      <c r="L62" s="132"/>
      <c r="M62" s="105"/>
      <c r="N62" s="33">
        <f t="shared" si="24"/>
        <v>1501.8380952381</v>
      </c>
      <c r="O62" s="133">
        <v>2823.25</v>
      </c>
      <c r="P62" s="20"/>
      <c r="Q62" s="20"/>
      <c r="R62" s="20"/>
      <c r="S62" s="20"/>
      <c r="T62" s="20"/>
      <c r="U62" s="20"/>
      <c r="W62" s="2"/>
    </row>
    <row r="63" ht="15" customHeight="1" spans="2:25">
      <c r="B63" s="127">
        <f t="shared" si="25"/>
        <v>3</v>
      </c>
      <c r="C63" s="134" t="s">
        <v>246</v>
      </c>
      <c r="D63" s="101">
        <f t="shared" si="22"/>
        <v>47.88</v>
      </c>
      <c r="E63" s="129"/>
      <c r="F63" s="129"/>
      <c r="G63" s="130"/>
      <c r="H63" s="102">
        <f t="shared" si="23"/>
        <v>47.88</v>
      </c>
      <c r="I63" s="131" t="s">
        <v>119</v>
      </c>
      <c r="J63" s="35">
        <v>27</v>
      </c>
      <c r="K63" s="101">
        <v>17733</v>
      </c>
      <c r="L63" s="132"/>
      <c r="M63" s="105"/>
      <c r="N63" s="33">
        <f t="shared" si="24"/>
        <v>17395.2285714286</v>
      </c>
      <c r="O63" s="133">
        <v>2823.25</v>
      </c>
      <c r="P63" s="20"/>
      <c r="Q63" s="20"/>
      <c r="R63" s="20"/>
      <c r="S63" s="20"/>
      <c r="T63" s="20"/>
      <c r="U63" s="20"/>
      <c r="W63" s="2"/>
    </row>
    <row r="64" ht="15" customHeight="1" spans="2:25">
      <c r="B64" s="127">
        <f t="shared" si="25"/>
        <v>4</v>
      </c>
      <c r="C64" s="134" t="s">
        <v>247</v>
      </c>
      <c r="D64" s="101">
        <f t="shared" si="22"/>
        <v>29.75</v>
      </c>
      <c r="E64" s="129"/>
      <c r="F64" s="129"/>
      <c r="G64" s="130"/>
      <c r="H64" s="102">
        <f t="shared" si="23"/>
        <v>29.75</v>
      </c>
      <c r="I64" s="131" t="s">
        <v>119</v>
      </c>
      <c r="J64" s="35">
        <v>12</v>
      </c>
      <c r="K64" s="101">
        <v>24793</v>
      </c>
      <c r="L64" s="132"/>
      <c r="M64" s="105"/>
      <c r="N64" s="33">
        <f t="shared" si="24"/>
        <v>24320.7523809524</v>
      </c>
      <c r="O64" s="133">
        <v>2823.25</v>
      </c>
      <c r="P64" s="20"/>
      <c r="Q64" s="20"/>
      <c r="R64" s="20"/>
      <c r="S64" s="20"/>
      <c r="T64" s="20"/>
      <c r="U64" s="20"/>
      <c r="W64" s="2"/>
    </row>
    <row r="65" s="86" customFormat="1" ht="15" customHeight="1" spans="2:25">
      <c r="B65" s="96" t="s">
        <v>79</v>
      </c>
      <c r="C65" s="26" t="s">
        <v>248</v>
      </c>
      <c r="D65" s="27">
        <f>SUM(D66:D75)</f>
        <v>287.93</v>
      </c>
      <c r="E65" s="27">
        <f>SUM(E66:E75)</f>
        <v>0</v>
      </c>
      <c r="F65" s="27">
        <f>SUM(F66:F75)</f>
        <v>0</v>
      </c>
      <c r="G65" s="27">
        <f>SUM(G66:G75)</f>
        <v>0</v>
      </c>
      <c r="H65" s="27">
        <f>SUM(H66:H75)</f>
        <v>287.93</v>
      </c>
      <c r="I65" s="28" t="s">
        <v>17</v>
      </c>
      <c r="J65" s="27">
        <f>J60</f>
        <v>1.6</v>
      </c>
      <c r="K65" s="29">
        <f>H65/J65*10000</f>
        <v>1799562.5</v>
      </c>
      <c r="L65" s="107"/>
      <c r="M65" s="97"/>
      <c r="N65" s="32"/>
      <c r="O65" s="32"/>
      <c r="P65" s="20"/>
      <c r="Q65" s="20"/>
      <c r="R65" s="20"/>
      <c r="S65" s="20"/>
      <c r="T65" s="20"/>
      <c r="U65" s="20"/>
      <c r="V65" s="6"/>
      <c r="W65" s="2"/>
      <c r="X65" s="146"/>
      <c r="Y65" s="146"/>
    </row>
    <row r="66" ht="15" customHeight="1" spans="2:25">
      <c r="B66" s="127">
        <v>1</v>
      </c>
      <c r="C66" s="134" t="s">
        <v>249</v>
      </c>
      <c r="D66" s="101">
        <f t="shared" si="22"/>
        <v>83.46</v>
      </c>
      <c r="E66" s="129"/>
      <c r="F66" s="129"/>
      <c r="G66" s="130"/>
      <c r="H66" s="102">
        <f t="shared" si="23"/>
        <v>83.46</v>
      </c>
      <c r="I66" s="131" t="s">
        <v>52</v>
      </c>
      <c r="J66" s="35">
        <v>102</v>
      </c>
      <c r="K66" s="101">
        <v>8182</v>
      </c>
      <c r="L66" s="132"/>
      <c r="M66" s="105"/>
      <c r="N66" s="33">
        <f t="shared" si="24"/>
        <v>8026.15238095238</v>
      </c>
      <c r="O66" s="133">
        <v>2823.25</v>
      </c>
      <c r="P66" s="20"/>
      <c r="Q66" s="20"/>
      <c r="R66" s="20"/>
      <c r="S66" s="20"/>
      <c r="T66" s="20"/>
      <c r="U66" s="20"/>
      <c r="W66" s="2"/>
    </row>
    <row r="67" ht="15" customHeight="1" spans="2:25">
      <c r="B67" s="127">
        <f t="shared" si="25"/>
        <v>2</v>
      </c>
      <c r="C67" s="134" t="s">
        <v>250</v>
      </c>
      <c r="D67" s="101">
        <f t="shared" si="22"/>
        <v>28.28</v>
      </c>
      <c r="E67" s="129"/>
      <c r="F67" s="129"/>
      <c r="G67" s="130"/>
      <c r="H67" s="102">
        <f t="shared" si="23"/>
        <v>28.28</v>
      </c>
      <c r="I67" s="131" t="s">
        <v>52</v>
      </c>
      <c r="J67" s="35">
        <v>12</v>
      </c>
      <c r="K67" s="101">
        <v>23564</v>
      </c>
      <c r="L67" s="132"/>
      <c r="M67" s="105"/>
      <c r="N67" s="33">
        <f t="shared" si="24"/>
        <v>23115.1619047619</v>
      </c>
      <c r="O67" s="133">
        <v>2823.25</v>
      </c>
      <c r="P67" s="20"/>
      <c r="Q67" s="20"/>
      <c r="R67" s="20"/>
      <c r="S67" s="20"/>
      <c r="T67" s="20"/>
      <c r="U67" s="20"/>
      <c r="W67" s="2"/>
    </row>
    <row r="68" ht="15" customHeight="1" spans="2:25">
      <c r="B68" s="127">
        <f t="shared" si="25"/>
        <v>3</v>
      </c>
      <c r="C68" s="134" t="s">
        <v>251</v>
      </c>
      <c r="D68" s="101">
        <f t="shared" si="22"/>
        <v>35.42</v>
      </c>
      <c r="E68" s="129"/>
      <c r="F68" s="129"/>
      <c r="G68" s="130"/>
      <c r="H68" s="102">
        <f t="shared" si="23"/>
        <v>35.42</v>
      </c>
      <c r="I68" s="131" t="s">
        <v>252</v>
      </c>
      <c r="J68" s="35">
        <v>2</v>
      </c>
      <c r="K68" s="101">
        <v>177091</v>
      </c>
      <c r="L68" s="132"/>
      <c r="M68" s="105"/>
      <c r="N68" s="33">
        <f t="shared" si="24"/>
        <v>173717.838095238</v>
      </c>
      <c r="O68" s="133">
        <v>2823.25</v>
      </c>
      <c r="P68" s="20"/>
      <c r="Q68" s="20"/>
      <c r="R68" s="20"/>
      <c r="S68" s="20"/>
      <c r="T68" s="20"/>
      <c r="U68" s="20"/>
      <c r="W68" s="2"/>
    </row>
    <row r="69" ht="15" customHeight="1" spans="2:25">
      <c r="B69" s="127">
        <f t="shared" si="25"/>
        <v>4</v>
      </c>
      <c r="C69" s="134" t="s">
        <v>253</v>
      </c>
      <c r="D69" s="101">
        <f t="shared" si="22"/>
        <v>9.75</v>
      </c>
      <c r="E69" s="129"/>
      <c r="F69" s="129"/>
      <c r="G69" s="130"/>
      <c r="H69" s="102">
        <f t="shared" si="23"/>
        <v>9.75</v>
      </c>
      <c r="I69" s="131" t="s">
        <v>252</v>
      </c>
      <c r="J69" s="35">
        <v>2</v>
      </c>
      <c r="K69" s="101">
        <v>48762</v>
      </c>
      <c r="L69" s="132"/>
      <c r="M69" s="105"/>
      <c r="N69" s="33">
        <f t="shared" si="24"/>
        <v>47833.2</v>
      </c>
      <c r="O69" s="133">
        <v>2823.25</v>
      </c>
      <c r="P69" s="20"/>
      <c r="Q69" s="20"/>
      <c r="R69" s="20"/>
      <c r="S69" s="20"/>
      <c r="T69" s="20"/>
      <c r="U69" s="20"/>
      <c r="W69" s="2"/>
    </row>
    <row r="70" ht="15" customHeight="1" spans="2:25">
      <c r="B70" s="127">
        <f t="shared" si="25"/>
        <v>5</v>
      </c>
      <c r="C70" s="134" t="s">
        <v>254</v>
      </c>
      <c r="D70" s="101">
        <f t="shared" si="22"/>
        <v>9.79</v>
      </c>
      <c r="E70" s="129"/>
      <c r="F70" s="129"/>
      <c r="G70" s="130"/>
      <c r="H70" s="102">
        <f t="shared" si="23"/>
        <v>9.79</v>
      </c>
      <c r="I70" s="131" t="s">
        <v>119</v>
      </c>
      <c r="J70" s="35">
        <v>45</v>
      </c>
      <c r="K70" s="101">
        <v>2176</v>
      </c>
      <c r="L70" s="132"/>
      <c r="M70" s="105"/>
      <c r="N70" s="33">
        <f t="shared" si="24"/>
        <v>2134.55238095238</v>
      </c>
      <c r="O70" s="133">
        <v>2823.25</v>
      </c>
      <c r="P70" s="20"/>
      <c r="Q70" s="20"/>
      <c r="R70" s="20"/>
      <c r="S70" s="20"/>
      <c r="T70" s="20"/>
      <c r="U70" s="20"/>
      <c r="W70" s="2"/>
    </row>
    <row r="71" ht="15" customHeight="1" spans="2:25">
      <c r="B71" s="127">
        <f t="shared" si="25"/>
        <v>6</v>
      </c>
      <c r="C71" s="134" t="s">
        <v>255</v>
      </c>
      <c r="D71" s="101">
        <f t="shared" si="22"/>
        <v>66.99</v>
      </c>
      <c r="E71" s="129"/>
      <c r="F71" s="129"/>
      <c r="G71" s="130"/>
      <c r="H71" s="102">
        <f t="shared" si="23"/>
        <v>66.99</v>
      </c>
      <c r="I71" s="131" t="s">
        <v>34</v>
      </c>
      <c r="J71" s="35">
        <v>3850</v>
      </c>
      <c r="K71" s="101">
        <v>174</v>
      </c>
      <c r="L71" s="132"/>
      <c r="M71" s="105"/>
      <c r="N71" s="33">
        <f t="shared" si="24"/>
        <v>170.685714285714</v>
      </c>
      <c r="O71" s="133">
        <v>2823.25</v>
      </c>
      <c r="P71" s="20"/>
      <c r="Q71" s="20"/>
      <c r="R71" s="20"/>
      <c r="S71" s="20"/>
      <c r="T71" s="20"/>
      <c r="U71" s="20"/>
      <c r="W71" s="2"/>
    </row>
    <row r="72" ht="15" customHeight="1" spans="2:25">
      <c r="B72" s="127">
        <f t="shared" si="25"/>
        <v>7</v>
      </c>
      <c r="C72" s="134" t="s">
        <v>256</v>
      </c>
      <c r="D72" s="101">
        <f t="shared" si="22"/>
        <v>40.6</v>
      </c>
      <c r="E72" s="129"/>
      <c r="F72" s="129"/>
      <c r="G72" s="130"/>
      <c r="H72" s="102">
        <f t="shared" si="23"/>
        <v>40.6</v>
      </c>
      <c r="I72" s="131" t="s">
        <v>34</v>
      </c>
      <c r="J72" s="35">
        <v>3500</v>
      </c>
      <c r="K72" s="101">
        <v>116</v>
      </c>
      <c r="L72" s="132"/>
      <c r="M72" s="105"/>
      <c r="N72" s="33">
        <f t="shared" si="24"/>
        <v>113.790476190476</v>
      </c>
      <c r="O72" s="133">
        <v>2823.25</v>
      </c>
      <c r="P72" s="20"/>
      <c r="Q72" s="20"/>
      <c r="R72" s="20"/>
      <c r="S72" s="20"/>
      <c r="T72" s="20"/>
      <c r="U72" s="20"/>
      <c r="W72" s="2"/>
    </row>
    <row r="73" ht="15" customHeight="1" spans="2:25">
      <c r="B73" s="127">
        <f t="shared" si="25"/>
        <v>8</v>
      </c>
      <c r="C73" s="134" t="s">
        <v>257</v>
      </c>
      <c r="D73" s="101">
        <f t="shared" si="22"/>
        <v>10.92</v>
      </c>
      <c r="E73" s="129"/>
      <c r="F73" s="129"/>
      <c r="G73" s="130"/>
      <c r="H73" s="102">
        <f t="shared" si="23"/>
        <v>10.92</v>
      </c>
      <c r="I73" s="131" t="s">
        <v>49</v>
      </c>
      <c r="J73" s="35">
        <v>700</v>
      </c>
      <c r="K73" s="101">
        <v>156</v>
      </c>
      <c r="L73" s="132"/>
      <c r="M73" s="105"/>
      <c r="N73" s="33">
        <f t="shared" si="24"/>
        <v>153.028571428571</v>
      </c>
      <c r="O73" s="133">
        <v>2823.25</v>
      </c>
      <c r="P73" s="20"/>
      <c r="Q73" s="20"/>
      <c r="R73" s="20"/>
      <c r="S73" s="20"/>
      <c r="T73" s="20"/>
      <c r="U73" s="20"/>
      <c r="W73" s="2"/>
    </row>
    <row r="74" ht="15" customHeight="1" spans="2:25">
      <c r="B74" s="127">
        <f t="shared" si="25"/>
        <v>9</v>
      </c>
      <c r="C74" s="134" t="s">
        <v>258</v>
      </c>
      <c r="D74" s="101">
        <f t="shared" si="22"/>
        <v>0.72</v>
      </c>
      <c r="E74" s="129"/>
      <c r="F74" s="129"/>
      <c r="G74" s="130"/>
      <c r="H74" s="102">
        <f t="shared" si="23"/>
        <v>0.72</v>
      </c>
      <c r="I74" s="131" t="s">
        <v>34</v>
      </c>
      <c r="J74" s="35">
        <v>240</v>
      </c>
      <c r="K74" s="101">
        <v>30</v>
      </c>
      <c r="L74" s="132"/>
      <c r="M74" s="105"/>
      <c r="N74" s="33">
        <f t="shared" si="24"/>
        <v>29.4285714285714</v>
      </c>
      <c r="O74" s="133">
        <v>2823.25</v>
      </c>
      <c r="P74" s="20"/>
      <c r="Q74" s="20"/>
      <c r="R74" s="20"/>
      <c r="S74" s="20"/>
      <c r="T74" s="20"/>
      <c r="U74" s="20"/>
      <c r="W74" s="2"/>
    </row>
    <row r="75" ht="15" customHeight="1" spans="2:25">
      <c r="B75" s="127">
        <f t="shared" si="25"/>
        <v>10</v>
      </c>
      <c r="C75" s="134" t="s">
        <v>243</v>
      </c>
      <c r="D75" s="101">
        <f t="shared" si="22"/>
        <v>2</v>
      </c>
      <c r="E75" s="129"/>
      <c r="F75" s="129"/>
      <c r="G75" s="130"/>
      <c r="H75" s="102">
        <f t="shared" si="23"/>
        <v>2</v>
      </c>
      <c r="I75" s="131" t="s">
        <v>49</v>
      </c>
      <c r="J75" s="35">
        <v>138</v>
      </c>
      <c r="K75" s="101">
        <v>145</v>
      </c>
      <c r="L75" s="132"/>
      <c r="M75" s="105"/>
      <c r="N75" s="33">
        <f t="shared" si="24"/>
        <v>142.238095238095</v>
      </c>
      <c r="O75" s="133">
        <v>2823.25</v>
      </c>
      <c r="P75" s="20"/>
      <c r="Q75" s="20"/>
      <c r="R75" s="20"/>
      <c r="S75" s="20"/>
      <c r="T75" s="20"/>
      <c r="U75" s="20"/>
      <c r="W75" s="2"/>
    </row>
    <row r="76" s="1" customFormat="1" ht="15" customHeight="1" spans="2:25">
      <c r="B76" s="96" t="s">
        <v>84</v>
      </c>
      <c r="C76" s="26" t="s">
        <v>259</v>
      </c>
      <c r="D76" s="27">
        <f>SUM(D77:D85)</f>
        <v>193.07</v>
      </c>
      <c r="E76" s="27">
        <f>SUM(E77:E85)</f>
        <v>0</v>
      </c>
      <c r="F76" s="27">
        <f>SUM(F77:F85)</f>
        <v>0</v>
      </c>
      <c r="G76" s="27">
        <f>SUM(G77:G85)</f>
        <v>0</v>
      </c>
      <c r="H76" s="27">
        <f>SUM(H77:H85)</f>
        <v>193.07</v>
      </c>
      <c r="I76" s="28" t="s">
        <v>17</v>
      </c>
      <c r="J76" s="27">
        <f>J7</f>
        <v>1.6</v>
      </c>
      <c r="K76" s="29">
        <f>H76*10000/J76</f>
        <v>1206687.5</v>
      </c>
      <c r="L76" s="147"/>
      <c r="M76" s="148"/>
      <c r="N76" s="149"/>
      <c r="O76" s="149"/>
      <c r="P76" s="20"/>
      <c r="Q76" s="20"/>
      <c r="R76" s="20"/>
      <c r="S76" s="20"/>
      <c r="T76" s="20"/>
      <c r="U76" s="20"/>
      <c r="V76" s="34"/>
      <c r="W76" s="2"/>
      <c r="X76" s="34"/>
      <c r="Y76" s="34"/>
    </row>
    <row r="77" ht="15" customHeight="1" spans="2:25">
      <c r="B77" s="150">
        <v>1</v>
      </c>
      <c r="C77" s="100" t="s">
        <v>260</v>
      </c>
      <c r="D77" s="101">
        <f>ROUND(J77*K77/10000,2)</f>
        <v>80</v>
      </c>
      <c r="E77" s="101"/>
      <c r="F77" s="21"/>
      <c r="G77" s="103"/>
      <c r="H77" s="102">
        <f t="shared" ref="H77:H85" si="26">SUM(D77:G77)</f>
        <v>80</v>
      </c>
      <c r="I77" s="103" t="s">
        <v>34</v>
      </c>
      <c r="J77" s="35">
        <f>1600</f>
        <v>1600</v>
      </c>
      <c r="K77" s="101">
        <f>500000/1000</f>
        <v>500</v>
      </c>
      <c r="L77" s="23"/>
      <c r="M77" s="151"/>
      <c r="N77" s="33">
        <f t="shared" ref="N77:N85" si="27">K77/1.05*1.03</f>
        <v>490.47619047619</v>
      </c>
      <c r="O77" s="152">
        <v>60</v>
      </c>
      <c r="P77" s="20"/>
      <c r="Q77" s="20"/>
      <c r="R77" s="20"/>
      <c r="S77" s="20"/>
      <c r="T77" s="20"/>
      <c r="U77" s="20"/>
      <c r="W77" s="2"/>
    </row>
    <row r="78" ht="15" customHeight="1" spans="2:25">
      <c r="B78" s="150">
        <v>2</v>
      </c>
      <c r="C78" s="100" t="s">
        <v>261</v>
      </c>
      <c r="D78" s="101">
        <f>ROUND(J78*K78/10000,2)</f>
        <v>0</v>
      </c>
      <c r="E78" s="101"/>
      <c r="F78" s="21"/>
      <c r="G78" s="103"/>
      <c r="H78" s="102">
        <f t="shared" si="26"/>
        <v>0</v>
      </c>
      <c r="I78" s="103" t="s">
        <v>49</v>
      </c>
      <c r="J78" s="35">
        <f t="shared" ref="J78" si="28">SUM(P78:T78)</f>
        <v>0</v>
      </c>
      <c r="K78" s="101">
        <v>66111.6094285714</v>
      </c>
      <c r="L78" s="23"/>
      <c r="M78" s="151"/>
      <c r="N78" s="33">
        <f t="shared" si="27"/>
        <v>64852.340677551</v>
      </c>
      <c r="O78" s="152">
        <v>67395.33</v>
      </c>
      <c r="P78" s="20"/>
      <c r="Q78" s="20"/>
      <c r="R78" s="20"/>
      <c r="S78" s="20"/>
      <c r="T78" s="20"/>
      <c r="U78" s="20"/>
      <c r="W78" s="2"/>
    </row>
    <row r="79" ht="15" customHeight="1" spans="2:25">
      <c r="B79" s="150">
        <v>3</v>
      </c>
      <c r="C79" s="100" t="s">
        <v>262</v>
      </c>
      <c r="D79" s="101">
        <f t="shared" ref="D79:D85" si="29">ROUND(J79*K79/10000,2)</f>
        <v>0</v>
      </c>
      <c r="E79" s="101"/>
      <c r="F79" s="21"/>
      <c r="G79" s="103"/>
      <c r="H79" s="102">
        <f t="shared" si="26"/>
        <v>0</v>
      </c>
      <c r="I79" s="103" t="s">
        <v>49</v>
      </c>
      <c r="J79" s="35">
        <f t="shared" ref="J79:J83" si="30">SUM(P79:T79)</f>
        <v>0</v>
      </c>
      <c r="K79" s="101">
        <v>18836.2476190476</v>
      </c>
      <c r="L79" s="23"/>
      <c r="M79" s="151"/>
      <c r="N79" s="33">
        <f t="shared" si="27"/>
        <v>18477.4619501134</v>
      </c>
      <c r="O79" s="152">
        <v>19202</v>
      </c>
      <c r="P79" s="20"/>
      <c r="Q79" s="20"/>
      <c r="R79" s="20"/>
      <c r="S79" s="20"/>
      <c r="T79" s="20"/>
      <c r="U79" s="20"/>
      <c r="W79" s="2"/>
    </row>
    <row r="80" ht="15" customHeight="1" spans="2:25">
      <c r="B80" s="150">
        <v>4</v>
      </c>
      <c r="C80" s="100" t="s">
        <v>263</v>
      </c>
      <c r="D80" s="101">
        <f t="shared" si="29"/>
        <v>0</v>
      </c>
      <c r="E80" s="101"/>
      <c r="F80" s="21"/>
      <c r="G80" s="103"/>
      <c r="H80" s="102">
        <f t="shared" si="26"/>
        <v>0</v>
      </c>
      <c r="I80" s="103" t="s">
        <v>49</v>
      </c>
      <c r="J80" s="35">
        <f t="shared" si="30"/>
        <v>0</v>
      </c>
      <c r="K80" s="101">
        <v>16667.3619047619</v>
      </c>
      <c r="L80" s="23"/>
      <c r="M80" s="151"/>
      <c r="N80" s="33">
        <f t="shared" si="27"/>
        <v>16349.8883446712</v>
      </c>
      <c r="O80" s="152">
        <v>16991</v>
      </c>
      <c r="P80" s="20"/>
      <c r="Q80" s="20"/>
      <c r="R80" s="20"/>
      <c r="S80" s="20"/>
      <c r="T80" s="20"/>
      <c r="U80" s="20"/>
      <c r="W80" s="2"/>
    </row>
    <row r="81" ht="15" customHeight="1" spans="2:25">
      <c r="B81" s="150">
        <v>5</v>
      </c>
      <c r="C81" s="100" t="s">
        <v>264</v>
      </c>
      <c r="D81" s="101">
        <f t="shared" si="29"/>
        <v>0</v>
      </c>
      <c r="E81" s="101"/>
      <c r="F81" s="21"/>
      <c r="G81" s="103"/>
      <c r="H81" s="102">
        <f t="shared" si="26"/>
        <v>0</v>
      </c>
      <c r="I81" s="103" t="s">
        <v>49</v>
      </c>
      <c r="J81" s="35">
        <f t="shared" si="30"/>
        <v>0</v>
      </c>
      <c r="K81" s="101">
        <v>5232.4</v>
      </c>
      <c r="L81" s="23"/>
      <c r="M81" s="151"/>
      <c r="N81" s="33">
        <f t="shared" si="27"/>
        <v>5132.73523809524</v>
      </c>
      <c r="O81" s="152">
        <v>5334</v>
      </c>
      <c r="P81" s="20"/>
      <c r="Q81" s="20"/>
      <c r="R81" s="20"/>
      <c r="S81" s="20"/>
      <c r="T81" s="20"/>
      <c r="U81" s="20"/>
      <c r="W81" s="2"/>
    </row>
    <row r="82" ht="15" customHeight="1" spans="2:25">
      <c r="B82" s="150">
        <v>6</v>
      </c>
      <c r="C82" s="100" t="s">
        <v>265</v>
      </c>
      <c r="D82" s="101">
        <f t="shared" si="29"/>
        <v>0</v>
      </c>
      <c r="E82" s="101"/>
      <c r="F82" s="21"/>
      <c r="G82" s="103"/>
      <c r="H82" s="102">
        <f t="shared" si="26"/>
        <v>0</v>
      </c>
      <c r="I82" s="103" t="s">
        <v>49</v>
      </c>
      <c r="J82" s="35">
        <f t="shared" si="30"/>
        <v>0</v>
      </c>
      <c r="K82" s="101">
        <v>1422.62619047619</v>
      </c>
      <c r="L82" s="23"/>
      <c r="M82" s="151"/>
      <c r="N82" s="33">
        <f t="shared" si="27"/>
        <v>1395.52854875283</v>
      </c>
      <c r="O82" s="152">
        <v>1450.25</v>
      </c>
      <c r="P82" s="20"/>
      <c r="Q82" s="20"/>
      <c r="R82" s="20"/>
      <c r="S82" s="20"/>
      <c r="T82" s="20"/>
      <c r="U82" s="20"/>
      <c r="W82" s="2"/>
    </row>
    <row r="83" ht="15" customHeight="1" spans="2:25">
      <c r="B83" s="150">
        <v>7</v>
      </c>
      <c r="C83" s="40" t="s">
        <v>266</v>
      </c>
      <c r="D83" s="101">
        <f t="shared" si="29"/>
        <v>0</v>
      </c>
      <c r="E83" s="101"/>
      <c r="F83" s="35"/>
      <c r="G83" s="102"/>
      <c r="H83" s="102">
        <f t="shared" si="26"/>
        <v>0</v>
      </c>
      <c r="I83" s="103" t="s">
        <v>49</v>
      </c>
      <c r="J83" s="35">
        <f t="shared" si="30"/>
        <v>0</v>
      </c>
      <c r="K83" s="101">
        <v>1906.97142857143</v>
      </c>
      <c r="L83" s="153"/>
      <c r="M83" s="105"/>
      <c r="N83" s="33">
        <f t="shared" si="27"/>
        <v>1870.64816326531</v>
      </c>
      <c r="O83" s="133">
        <v>1944</v>
      </c>
      <c r="P83" s="20"/>
      <c r="Q83" s="20"/>
      <c r="R83" s="20"/>
      <c r="S83" s="20"/>
      <c r="T83" s="20"/>
      <c r="U83" s="20"/>
      <c r="W83" s="2"/>
    </row>
    <row r="84" ht="15" customHeight="1" spans="2:25">
      <c r="B84" s="150">
        <v>8</v>
      </c>
      <c r="C84" s="40" t="s">
        <v>267</v>
      </c>
      <c r="D84" s="101">
        <f t="shared" si="29"/>
        <v>61.92</v>
      </c>
      <c r="E84" s="101"/>
      <c r="F84" s="35"/>
      <c r="G84" s="102"/>
      <c r="H84" s="102">
        <f t="shared" si="26"/>
        <v>61.92</v>
      </c>
      <c r="I84" s="103" t="s">
        <v>34</v>
      </c>
      <c r="J84" s="35">
        <v>1600</v>
      </c>
      <c r="K84" s="101">
        <v>387</v>
      </c>
      <c r="L84" s="153"/>
      <c r="M84" s="105"/>
      <c r="N84" s="33">
        <f t="shared" si="27"/>
        <v>379.628571428571</v>
      </c>
      <c r="O84" s="133">
        <v>283.16</v>
      </c>
      <c r="P84" s="20"/>
      <c r="Q84" s="20"/>
      <c r="R84" s="20"/>
      <c r="S84" s="20"/>
      <c r="T84" s="20"/>
      <c r="U84" s="20"/>
      <c r="W84" s="2"/>
    </row>
    <row r="85" ht="15" customHeight="1" spans="2:25">
      <c r="B85" s="150">
        <v>9</v>
      </c>
      <c r="C85" s="40" t="s">
        <v>268</v>
      </c>
      <c r="D85" s="101">
        <f t="shared" si="29"/>
        <v>51.15</v>
      </c>
      <c r="E85" s="101"/>
      <c r="F85" s="35"/>
      <c r="G85" s="102"/>
      <c r="H85" s="102">
        <f t="shared" si="26"/>
        <v>51.15</v>
      </c>
      <c r="I85" s="103" t="s">
        <v>34</v>
      </c>
      <c r="J85" s="35">
        <v>1650</v>
      </c>
      <c r="K85" s="101">
        <v>310</v>
      </c>
      <c r="L85" s="153"/>
      <c r="M85" s="105"/>
      <c r="N85" s="33">
        <f t="shared" si="27"/>
        <v>304.095238095238</v>
      </c>
      <c r="O85" s="133">
        <v>283.16</v>
      </c>
      <c r="P85" s="20"/>
      <c r="Q85" s="20"/>
      <c r="R85" s="20"/>
      <c r="S85" s="20"/>
      <c r="T85" s="20"/>
      <c r="U85" s="20"/>
      <c r="W85" s="2"/>
    </row>
    <row r="86" ht="15" customHeight="1" spans="2:25">
      <c r="B86" s="154" t="s">
        <v>89</v>
      </c>
      <c r="C86" s="155" t="s">
        <v>269</v>
      </c>
      <c r="D86" s="45">
        <f>SUM(D87:D87)</f>
        <v>0</v>
      </c>
      <c r="E86" s="45">
        <f>SUM(E87:E87)</f>
        <v>0</v>
      </c>
      <c r="F86" s="45">
        <f>SUM(F87:F87)</f>
        <v>0</v>
      </c>
      <c r="G86" s="45">
        <f>SUM(G87:G87)</f>
        <v>0</v>
      </c>
      <c r="H86" s="45">
        <f>SUM(H87:H87)</f>
        <v>0</v>
      </c>
      <c r="I86" s="28" t="s">
        <v>17</v>
      </c>
      <c r="J86" s="28">
        <f>J7</f>
        <v>1.6</v>
      </c>
      <c r="K86" s="29">
        <f>H86*10000/J86</f>
        <v>0</v>
      </c>
      <c r="L86" s="107"/>
      <c r="M86" s="105"/>
      <c r="N86" s="33"/>
      <c r="O86" s="33"/>
      <c r="P86" s="20"/>
      <c r="Q86" s="20"/>
      <c r="R86" s="20"/>
      <c r="S86" s="20"/>
      <c r="T86" s="20"/>
      <c r="U86" s="20"/>
      <c r="V86" s="20"/>
      <c r="W86" s="2"/>
    </row>
    <row r="87" ht="15" customHeight="1" spans="2:25">
      <c r="B87" s="150">
        <v>1</v>
      </c>
      <c r="C87" s="156" t="s">
        <v>269</v>
      </c>
      <c r="D87" s="45"/>
      <c r="E87" s="101">
        <f>ROUND(J87*K87/10000,2)</f>
        <v>0</v>
      </c>
      <c r="F87" s="21"/>
      <c r="G87" s="103"/>
      <c r="H87" s="102">
        <f t="shared" ref="H87:H91" si="31">SUM(D87:G87)</f>
        <v>0</v>
      </c>
      <c r="I87" s="35" t="s">
        <v>49</v>
      </c>
      <c r="J87" s="35">
        <v>0</v>
      </c>
      <c r="K87" s="101">
        <v>490476.19047619</v>
      </c>
      <c r="L87" s="107"/>
      <c r="M87" s="105"/>
      <c r="N87" s="33">
        <f>K87/1.05*1.03</f>
        <v>481133.786848072</v>
      </c>
      <c r="O87" s="133">
        <v>500000</v>
      </c>
      <c r="P87" s="20"/>
      <c r="Q87" s="20"/>
      <c r="R87" s="20"/>
      <c r="S87" s="20"/>
      <c r="T87" s="20"/>
      <c r="U87" s="20"/>
      <c r="V87" s="20"/>
      <c r="W87" s="2"/>
    </row>
    <row r="88" ht="15" customHeight="1" spans="2:25">
      <c r="B88" s="96">
        <v>1.2</v>
      </c>
      <c r="C88" s="26" t="s">
        <v>178</v>
      </c>
      <c r="D88" s="27">
        <f>D89+D92+D114+D122+D131+D160+D170+D137+D144+D149</f>
        <v>2649.89</v>
      </c>
      <c r="E88" s="27">
        <f>E89+E92+E114+E122+E131+E160+E170+E137+E144+E149</f>
        <v>0</v>
      </c>
      <c r="F88" s="27">
        <f>F89+F92+F114+F122+F131+F160+F170+F137+F144+F149</f>
        <v>0</v>
      </c>
      <c r="G88" s="27">
        <f>G89+G92+G114+G122+G131+G160+G170+G137+G144+G149</f>
        <v>0</v>
      </c>
      <c r="H88" s="27">
        <f>H89+H92+H114+H122+H131+H160+H170+H137+H144+H149</f>
        <v>2649.89</v>
      </c>
      <c r="I88" s="28" t="s">
        <v>17</v>
      </c>
      <c r="J88" s="27">
        <f>Q2</f>
        <v>0.785</v>
      </c>
      <c r="K88" s="29">
        <f>H88/J88*10000</f>
        <v>33756560.5095541</v>
      </c>
      <c r="L88" s="30"/>
      <c r="M88" s="97"/>
      <c r="N88" s="32"/>
      <c r="O88" s="32"/>
      <c r="P88" s="20"/>
      <c r="Q88" s="20"/>
      <c r="R88" s="20"/>
      <c r="S88" s="20"/>
      <c r="T88" s="20"/>
      <c r="U88" s="20"/>
      <c r="V88" s="34"/>
      <c r="W88" s="2"/>
    </row>
    <row r="89" ht="15" customHeight="1" spans="2:25">
      <c r="B89" s="96" t="s">
        <v>19</v>
      </c>
      <c r="C89" s="26" t="s">
        <v>20</v>
      </c>
      <c r="D89" s="27">
        <f>SUM(D90:D91)</f>
        <v>30.49</v>
      </c>
      <c r="E89" s="27">
        <f t="shared" ref="E89:G89" si="32">SUM(E90:E98)</f>
        <v>0</v>
      </c>
      <c r="F89" s="27">
        <f t="shared" si="32"/>
        <v>0</v>
      </c>
      <c r="G89" s="27">
        <f t="shared" si="32"/>
        <v>0</v>
      </c>
      <c r="H89" s="27">
        <f>SUM(H90:H91)</f>
        <v>30.49</v>
      </c>
      <c r="I89" s="28" t="s">
        <v>17</v>
      </c>
      <c r="J89" s="27">
        <f>J88</f>
        <v>0.785</v>
      </c>
      <c r="K89" s="29">
        <f>H89/J89*10000</f>
        <v>388407.643312102</v>
      </c>
      <c r="L89" s="98"/>
      <c r="M89" s="97"/>
      <c r="N89" s="32"/>
      <c r="O89" s="32"/>
      <c r="P89" s="20"/>
      <c r="Q89" s="20"/>
      <c r="R89" s="20"/>
      <c r="S89" s="20"/>
      <c r="T89" s="20"/>
      <c r="U89" s="20"/>
      <c r="V89" s="20"/>
      <c r="W89" s="2"/>
    </row>
    <row r="90" ht="15" customHeight="1" spans="2:25">
      <c r="B90" s="99">
        <v>1</v>
      </c>
      <c r="C90" s="100" t="s">
        <v>197</v>
      </c>
      <c r="D90" s="101">
        <f t="shared" ref="D90:D113" si="33">ROUND(J90*K90/10000,2)</f>
        <v>29.51</v>
      </c>
      <c r="E90" s="35"/>
      <c r="F90" s="35"/>
      <c r="G90" s="102"/>
      <c r="H90" s="102">
        <f t="shared" si="31"/>
        <v>29.51</v>
      </c>
      <c r="I90" s="103" t="s">
        <v>22</v>
      </c>
      <c r="J90" s="35">
        <f>4537*0.3+17191*0.32</f>
        <v>6862.22</v>
      </c>
      <c r="K90" s="101">
        <v>43</v>
      </c>
      <c r="L90" s="104"/>
      <c r="M90" s="105"/>
      <c r="N90" s="33">
        <f>K90/1.05*1.03</f>
        <v>42.1809523809524</v>
      </c>
      <c r="O90" s="106">
        <v>14.05</v>
      </c>
      <c r="P90" s="20"/>
      <c r="Q90" s="20"/>
      <c r="R90" s="20"/>
      <c r="S90" s="20"/>
      <c r="T90" s="20"/>
      <c r="U90" s="20"/>
      <c r="W90" s="2"/>
    </row>
    <row r="91" ht="15" customHeight="1" spans="2:25">
      <c r="B91" s="99">
        <v>2</v>
      </c>
      <c r="C91" s="100" t="s">
        <v>198</v>
      </c>
      <c r="D91" s="101">
        <f t="shared" si="33"/>
        <v>0.98</v>
      </c>
      <c r="E91" s="21"/>
      <c r="F91" s="21"/>
      <c r="G91" s="103"/>
      <c r="H91" s="102">
        <f t="shared" si="31"/>
        <v>0.98</v>
      </c>
      <c r="I91" s="103" t="s">
        <v>27</v>
      </c>
      <c r="J91" s="35">
        <v>9781</v>
      </c>
      <c r="K91" s="101">
        <v>1</v>
      </c>
      <c r="L91" s="18"/>
      <c r="M91" s="105"/>
      <c r="N91" s="33">
        <f>K91/1.05*1.03</f>
        <v>0.980952380952381</v>
      </c>
      <c r="O91" s="106">
        <v>14.67</v>
      </c>
      <c r="P91" s="20"/>
      <c r="Q91" s="20"/>
      <c r="R91" s="20"/>
      <c r="S91" s="20"/>
      <c r="T91" s="20"/>
      <c r="U91" s="20"/>
      <c r="W91" s="2"/>
    </row>
    <row r="92" ht="15" customHeight="1" spans="2:25">
      <c r="B92" s="96" t="s">
        <v>39</v>
      </c>
      <c r="C92" s="26" t="s">
        <v>40</v>
      </c>
      <c r="D92" s="27">
        <f>SUM(D93:D113)</f>
        <v>1407.48</v>
      </c>
      <c r="E92" s="27">
        <f t="shared" ref="E92:G92" si="34">SUM(E93:E101)</f>
        <v>0</v>
      </c>
      <c r="F92" s="27">
        <f t="shared" si="34"/>
        <v>0</v>
      </c>
      <c r="G92" s="27">
        <f t="shared" si="34"/>
        <v>0</v>
      </c>
      <c r="H92" s="27">
        <f>SUM(H93:H113)</f>
        <v>1407.48</v>
      </c>
      <c r="I92" s="28" t="s">
        <v>27</v>
      </c>
      <c r="J92" s="27">
        <f>J98+J108</f>
        <v>20618</v>
      </c>
      <c r="K92" s="29">
        <f>H92*10000/J92</f>
        <v>682.646231448249</v>
      </c>
      <c r="L92" s="107"/>
      <c r="M92" s="97"/>
      <c r="N92" s="32"/>
      <c r="O92" s="32"/>
      <c r="P92" s="20"/>
      <c r="Q92" s="20"/>
      <c r="R92" s="20"/>
      <c r="S92" s="20"/>
      <c r="T92" s="20"/>
      <c r="U92" s="20"/>
      <c r="V92" s="34"/>
      <c r="W92" s="2"/>
    </row>
    <row r="93" s="83" customFormat="1" ht="15" customHeight="1" spans="2:25">
      <c r="B93" s="108">
        <v>1</v>
      </c>
      <c r="C93" s="109" t="s">
        <v>199</v>
      </c>
      <c r="D93" s="110">
        <f t="shared" si="33"/>
        <v>90.64</v>
      </c>
      <c r="E93" s="111"/>
      <c r="F93" s="111"/>
      <c r="G93" s="112"/>
      <c r="H93" s="113">
        <f t="shared" ref="H93:H113" si="35">SUM(D93:G93)</f>
        <v>90.64</v>
      </c>
      <c r="I93" s="112" t="s">
        <v>27</v>
      </c>
      <c r="J93" s="114">
        <v>14619</v>
      </c>
      <c r="K93" s="110">
        <v>62</v>
      </c>
      <c r="L93" s="115"/>
      <c r="M93" s="116"/>
      <c r="N93" s="117">
        <f t="shared" ref="N93:N113" si="36">K93/1.05*1.03</f>
        <v>60.8190476190476</v>
      </c>
      <c r="O93" s="118">
        <v>47.411</v>
      </c>
      <c r="P93" s="119">
        <f>J93*0.62</f>
        <v>9063.78</v>
      </c>
      <c r="Q93" s="119"/>
      <c r="R93" s="119"/>
      <c r="S93" s="119"/>
      <c r="T93" s="119"/>
      <c r="U93" s="119"/>
      <c r="V93" s="120"/>
      <c r="X93" s="120"/>
      <c r="Y93" s="120"/>
    </row>
    <row r="94" s="83" customFormat="1" ht="15" customHeight="1" spans="2:25">
      <c r="B94" s="121">
        <f t="shared" ref="B94:B113" si="37">B93+1</f>
        <v>2</v>
      </c>
      <c r="C94" s="122" t="s">
        <v>200</v>
      </c>
      <c r="D94" s="110">
        <f t="shared" si="33"/>
        <v>13.61</v>
      </c>
      <c r="E94" s="123"/>
      <c r="F94" s="123"/>
      <c r="G94" s="124"/>
      <c r="H94" s="113">
        <f t="shared" si="35"/>
        <v>13.61</v>
      </c>
      <c r="I94" s="125" t="s">
        <v>27</v>
      </c>
      <c r="J94" s="114">
        <v>4537</v>
      </c>
      <c r="K94" s="110">
        <v>30</v>
      </c>
      <c r="L94" s="126"/>
      <c r="M94" s="116"/>
      <c r="N94" s="117">
        <f t="shared" si="36"/>
        <v>29.4285714285714</v>
      </c>
      <c r="O94" s="118">
        <v>83.38</v>
      </c>
      <c r="P94" s="119">
        <f>J94*0.36</f>
        <v>1633.32</v>
      </c>
      <c r="Q94" s="119"/>
      <c r="R94" s="119"/>
      <c r="S94" s="119"/>
      <c r="T94" s="119"/>
      <c r="U94" s="119"/>
      <c r="V94" s="120"/>
      <c r="X94" s="120"/>
      <c r="Y94" s="120"/>
    </row>
    <row r="95" ht="15" customHeight="1" spans="2:25">
      <c r="B95" s="127">
        <f t="shared" si="37"/>
        <v>3</v>
      </c>
      <c r="C95" s="128" t="s">
        <v>201</v>
      </c>
      <c r="D95" s="101">
        <f t="shared" si="33"/>
        <v>2.12</v>
      </c>
      <c r="E95" s="129"/>
      <c r="F95" s="129"/>
      <c r="G95" s="130"/>
      <c r="H95" s="102">
        <f t="shared" si="35"/>
        <v>2.12</v>
      </c>
      <c r="I95" s="131" t="s">
        <v>34</v>
      </c>
      <c r="J95" s="35">
        <v>1630</v>
      </c>
      <c r="K95" s="101">
        <v>13</v>
      </c>
      <c r="L95" s="132"/>
      <c r="M95" s="105"/>
      <c r="N95" s="33">
        <f t="shared" si="36"/>
        <v>12.752380952381</v>
      </c>
      <c r="O95" s="133">
        <v>78.762</v>
      </c>
      <c r="P95" s="20"/>
      <c r="Q95" s="20"/>
      <c r="R95" s="20"/>
      <c r="S95" s="20"/>
      <c r="T95" s="20"/>
      <c r="U95" s="20"/>
      <c r="W95" s="2"/>
    </row>
    <row r="96" ht="15" customHeight="1" spans="2:25">
      <c r="B96" s="127">
        <f t="shared" si="37"/>
        <v>4</v>
      </c>
      <c r="C96" s="128" t="s">
        <v>202</v>
      </c>
      <c r="D96" s="101">
        <f t="shared" si="33"/>
        <v>1.22</v>
      </c>
      <c r="E96" s="129"/>
      <c r="F96" s="129"/>
      <c r="G96" s="130"/>
      <c r="H96" s="102">
        <f t="shared" si="35"/>
        <v>1.22</v>
      </c>
      <c r="I96" s="131" t="s">
        <v>34</v>
      </c>
      <c r="J96" s="35">
        <v>1531</v>
      </c>
      <c r="K96" s="101">
        <v>8</v>
      </c>
      <c r="L96" s="132"/>
      <c r="M96" s="105"/>
      <c r="N96" s="33">
        <f t="shared" si="36"/>
        <v>7.84761904761905</v>
      </c>
      <c r="O96" s="133">
        <v>3.434</v>
      </c>
      <c r="P96" s="20"/>
      <c r="Q96" s="20"/>
      <c r="R96" s="20"/>
      <c r="S96" s="20"/>
      <c r="T96" s="20"/>
      <c r="U96" s="20"/>
      <c r="W96" s="2"/>
    </row>
    <row r="97" ht="15" customHeight="1" spans="2:23">
      <c r="B97" s="127">
        <f t="shared" si="37"/>
        <v>5</v>
      </c>
      <c r="C97" s="128" t="s">
        <v>203</v>
      </c>
      <c r="D97" s="101">
        <f t="shared" si="33"/>
        <v>34.04</v>
      </c>
      <c r="E97" s="129"/>
      <c r="F97" s="129"/>
      <c r="G97" s="130"/>
      <c r="H97" s="102">
        <f t="shared" si="35"/>
        <v>34.04</v>
      </c>
      <c r="I97" s="131" t="s">
        <v>34</v>
      </c>
      <c r="J97" s="35">
        <v>1480</v>
      </c>
      <c r="K97" s="101">
        <v>230</v>
      </c>
      <c r="L97" s="132"/>
      <c r="M97" s="105"/>
      <c r="N97" s="33">
        <f t="shared" si="36"/>
        <v>225.619047619048</v>
      </c>
      <c r="O97" s="133">
        <v>21.646</v>
      </c>
      <c r="P97" s="20"/>
      <c r="Q97" s="20"/>
      <c r="R97" s="20"/>
      <c r="S97" s="20"/>
      <c r="T97" s="20"/>
      <c r="U97" s="20"/>
      <c r="W97" s="2"/>
    </row>
    <row r="98" ht="15" customHeight="1" spans="2:23">
      <c r="B98" s="127">
        <f t="shared" si="37"/>
        <v>6</v>
      </c>
      <c r="C98" s="128" t="s">
        <v>204</v>
      </c>
      <c r="D98" s="101">
        <f t="shared" si="33"/>
        <v>168.85</v>
      </c>
      <c r="E98" s="129"/>
      <c r="F98" s="129"/>
      <c r="G98" s="130"/>
      <c r="H98" s="102">
        <f t="shared" si="35"/>
        <v>168.85</v>
      </c>
      <c r="I98" s="131" t="s">
        <v>27</v>
      </c>
      <c r="J98" s="35">
        <v>16081</v>
      </c>
      <c r="K98" s="101">
        <v>105</v>
      </c>
      <c r="L98" s="132"/>
      <c r="M98" s="105"/>
      <c r="N98" s="33">
        <f t="shared" si="36"/>
        <v>103</v>
      </c>
      <c r="O98" s="133">
        <v>6.15</v>
      </c>
      <c r="P98" s="20"/>
      <c r="Q98" s="20"/>
      <c r="R98" s="20"/>
      <c r="S98" s="20"/>
      <c r="T98" s="20"/>
      <c r="U98" s="20"/>
      <c r="W98" s="2"/>
    </row>
    <row r="99" ht="15" customHeight="1" spans="2:23">
      <c r="B99" s="127">
        <f t="shared" si="37"/>
        <v>7</v>
      </c>
      <c r="C99" s="128" t="s">
        <v>205</v>
      </c>
      <c r="D99" s="101">
        <f t="shared" si="33"/>
        <v>0</v>
      </c>
      <c r="E99" s="129"/>
      <c r="F99" s="129"/>
      <c r="G99" s="130"/>
      <c r="H99" s="102">
        <f t="shared" si="35"/>
        <v>0</v>
      </c>
      <c r="I99" s="131" t="s">
        <v>27</v>
      </c>
      <c r="J99" s="35">
        <v>0</v>
      </c>
      <c r="K99" s="101">
        <v>98</v>
      </c>
      <c r="L99" s="132"/>
      <c r="M99" s="105"/>
      <c r="N99" s="33">
        <f t="shared" si="36"/>
        <v>96.1333333333333</v>
      </c>
      <c r="O99" s="133">
        <v>99.778</v>
      </c>
      <c r="P99" s="20"/>
      <c r="Q99" s="20"/>
      <c r="R99" s="20"/>
      <c r="S99" s="20"/>
      <c r="T99" s="20"/>
      <c r="U99" s="20"/>
      <c r="W99" s="2"/>
    </row>
    <row r="100" ht="15" customHeight="1" spans="2:23">
      <c r="B100" s="127">
        <f t="shared" si="37"/>
        <v>8</v>
      </c>
      <c r="C100" s="128" t="s">
        <v>206</v>
      </c>
      <c r="D100" s="101">
        <f t="shared" si="33"/>
        <v>207.44</v>
      </c>
      <c r="E100" s="129"/>
      <c r="F100" s="129"/>
      <c r="G100" s="130"/>
      <c r="H100" s="102">
        <f t="shared" si="35"/>
        <v>207.44</v>
      </c>
      <c r="I100" s="131" t="s">
        <v>27</v>
      </c>
      <c r="J100" s="35">
        <v>16081</v>
      </c>
      <c r="K100" s="101">
        <v>129</v>
      </c>
      <c r="L100" s="132"/>
      <c r="M100" s="105"/>
      <c r="N100" s="33">
        <f t="shared" si="36"/>
        <v>126.542857142857</v>
      </c>
      <c r="O100" s="133">
        <v>95.083</v>
      </c>
      <c r="P100" s="20"/>
      <c r="Q100" s="20"/>
      <c r="R100" s="20"/>
      <c r="S100" s="20"/>
      <c r="T100" s="20"/>
      <c r="U100" s="20"/>
      <c r="W100" s="2"/>
    </row>
    <row r="101" ht="15" customHeight="1" spans="2:23">
      <c r="B101" s="127">
        <f t="shared" si="37"/>
        <v>9</v>
      </c>
      <c r="C101" s="128" t="s">
        <v>207</v>
      </c>
      <c r="D101" s="101">
        <f t="shared" si="33"/>
        <v>212.27</v>
      </c>
      <c r="E101" s="129"/>
      <c r="F101" s="129"/>
      <c r="G101" s="130"/>
      <c r="H101" s="102">
        <f t="shared" si="35"/>
        <v>212.27</v>
      </c>
      <c r="I101" s="131" t="s">
        <v>27</v>
      </c>
      <c r="J101" s="35">
        <v>16081</v>
      </c>
      <c r="K101" s="101">
        <v>132</v>
      </c>
      <c r="L101" s="132"/>
      <c r="M101" s="105"/>
      <c r="N101" s="33">
        <f t="shared" si="36"/>
        <v>129.485714285714</v>
      </c>
      <c r="O101" s="133">
        <v>37.543</v>
      </c>
      <c r="P101" s="20"/>
      <c r="Q101" s="20"/>
      <c r="R101" s="20"/>
      <c r="S101" s="20"/>
      <c r="T101" s="20"/>
      <c r="U101" s="20"/>
      <c r="W101" s="2"/>
    </row>
    <row r="102" ht="15" customHeight="1" spans="2:23">
      <c r="B102" s="127">
        <f t="shared" si="37"/>
        <v>10</v>
      </c>
      <c r="C102" s="128" t="s">
        <v>208</v>
      </c>
      <c r="D102" s="101">
        <f t="shared" si="33"/>
        <v>35.38</v>
      </c>
      <c r="E102" s="129"/>
      <c r="F102" s="129"/>
      <c r="G102" s="130"/>
      <c r="H102" s="102">
        <f t="shared" si="35"/>
        <v>35.38</v>
      </c>
      <c r="I102" s="131" t="s">
        <v>27</v>
      </c>
      <c r="J102" s="35">
        <v>16081</v>
      </c>
      <c r="K102" s="101">
        <v>22</v>
      </c>
      <c r="L102" s="132"/>
      <c r="M102" s="105"/>
      <c r="N102" s="33">
        <f t="shared" si="36"/>
        <v>21.5809523809524</v>
      </c>
      <c r="O102" s="133">
        <v>136.246</v>
      </c>
      <c r="P102" s="20"/>
      <c r="Q102" s="20"/>
      <c r="R102" s="20"/>
      <c r="S102" s="20"/>
      <c r="T102" s="20"/>
      <c r="U102" s="20"/>
      <c r="W102" s="2"/>
    </row>
    <row r="103" ht="15" customHeight="1" spans="2:23">
      <c r="B103" s="127">
        <f t="shared" si="37"/>
        <v>11</v>
      </c>
      <c r="C103" s="128" t="s">
        <v>209</v>
      </c>
      <c r="D103" s="101">
        <f t="shared" si="33"/>
        <v>168.85</v>
      </c>
      <c r="E103" s="129"/>
      <c r="F103" s="129"/>
      <c r="G103" s="130"/>
      <c r="H103" s="102">
        <f t="shared" si="35"/>
        <v>168.85</v>
      </c>
      <c r="I103" s="131" t="s">
        <v>27</v>
      </c>
      <c r="J103" s="35">
        <v>16081</v>
      </c>
      <c r="K103" s="101">
        <v>105</v>
      </c>
      <c r="L103" s="132"/>
      <c r="M103" s="105"/>
      <c r="N103" s="33">
        <f t="shared" si="36"/>
        <v>103</v>
      </c>
      <c r="O103" s="133">
        <v>99.778</v>
      </c>
      <c r="P103" s="20"/>
      <c r="Q103" s="20"/>
      <c r="R103" s="20"/>
      <c r="S103" s="20"/>
      <c r="T103" s="20"/>
      <c r="U103" s="20"/>
      <c r="W103" s="2"/>
    </row>
    <row r="104" ht="15" customHeight="1" spans="2:23">
      <c r="B104" s="127">
        <f t="shared" si="37"/>
        <v>12</v>
      </c>
      <c r="C104" s="128" t="s">
        <v>210</v>
      </c>
      <c r="D104" s="101">
        <f t="shared" si="33"/>
        <v>165.06</v>
      </c>
      <c r="E104" s="129"/>
      <c r="F104" s="129"/>
      <c r="G104" s="130"/>
      <c r="H104" s="102">
        <f t="shared" si="35"/>
        <v>165.06</v>
      </c>
      <c r="I104" s="131" t="s">
        <v>27</v>
      </c>
      <c r="J104" s="35">
        <v>16673</v>
      </c>
      <c r="K104" s="101">
        <v>99</v>
      </c>
      <c r="L104" s="132"/>
      <c r="M104" s="105"/>
      <c r="N104" s="33">
        <f t="shared" si="36"/>
        <v>97.1142857142857</v>
      </c>
      <c r="O104" s="133">
        <v>49.107</v>
      </c>
      <c r="P104" s="20"/>
      <c r="Q104" s="20"/>
      <c r="R104" s="20"/>
      <c r="S104" s="20"/>
      <c r="T104" s="20"/>
      <c r="U104" s="20"/>
      <c r="W104" s="2"/>
    </row>
    <row r="105" ht="15" customHeight="1" spans="2:23">
      <c r="B105" s="127">
        <f t="shared" si="37"/>
        <v>13</v>
      </c>
      <c r="C105" s="128" t="s">
        <v>211</v>
      </c>
      <c r="D105" s="101">
        <f t="shared" si="33"/>
        <v>0</v>
      </c>
      <c r="E105" s="129"/>
      <c r="F105" s="129"/>
      <c r="G105" s="130"/>
      <c r="H105" s="102">
        <f t="shared" si="35"/>
        <v>0</v>
      </c>
      <c r="I105" s="131" t="s">
        <v>27</v>
      </c>
      <c r="J105" s="35">
        <v>0</v>
      </c>
      <c r="K105" s="101">
        <v>91</v>
      </c>
      <c r="L105" s="132"/>
      <c r="M105" s="105"/>
      <c r="N105" s="33">
        <f t="shared" si="36"/>
        <v>89.2666666666667</v>
      </c>
      <c r="O105" s="133">
        <v>279.035</v>
      </c>
      <c r="P105" s="20"/>
      <c r="Q105" s="20"/>
      <c r="R105" s="20"/>
      <c r="S105" s="20"/>
      <c r="T105" s="20"/>
      <c r="U105" s="20"/>
      <c r="W105" s="2"/>
    </row>
    <row r="106" ht="15" customHeight="1" spans="2:23">
      <c r="B106" s="127">
        <f t="shared" si="37"/>
        <v>14</v>
      </c>
      <c r="C106" s="128" t="s">
        <v>212</v>
      </c>
      <c r="D106" s="101">
        <f t="shared" si="33"/>
        <v>96.27</v>
      </c>
      <c r="E106" s="129"/>
      <c r="F106" s="129"/>
      <c r="G106" s="130"/>
      <c r="H106" s="102">
        <f t="shared" si="35"/>
        <v>96.27</v>
      </c>
      <c r="I106" s="131" t="s">
        <v>27</v>
      </c>
      <c r="J106" s="35">
        <v>17191</v>
      </c>
      <c r="K106" s="101">
        <v>56</v>
      </c>
      <c r="L106" s="132"/>
      <c r="M106" s="105"/>
      <c r="N106" s="33">
        <f t="shared" si="36"/>
        <v>54.9333333333333</v>
      </c>
      <c r="O106" s="133">
        <v>6770.562</v>
      </c>
      <c r="P106" s="20"/>
      <c r="Q106" s="20"/>
      <c r="R106" s="20"/>
      <c r="S106" s="20"/>
      <c r="T106" s="20"/>
      <c r="U106" s="20"/>
      <c r="W106" s="2"/>
    </row>
    <row r="107" ht="15" customHeight="1" spans="2:23">
      <c r="B107" s="127">
        <f t="shared" si="37"/>
        <v>15</v>
      </c>
      <c r="C107" s="128" t="s">
        <v>213</v>
      </c>
      <c r="D107" s="101">
        <f t="shared" si="33"/>
        <v>0</v>
      </c>
      <c r="E107" s="129"/>
      <c r="F107" s="129"/>
      <c r="G107" s="130"/>
      <c r="H107" s="102">
        <f t="shared" si="35"/>
        <v>0</v>
      </c>
      <c r="I107" s="131" t="s">
        <v>27</v>
      </c>
      <c r="J107" s="35">
        <v>0</v>
      </c>
      <c r="K107" s="101">
        <v>43</v>
      </c>
      <c r="L107" s="104"/>
      <c r="M107" s="105"/>
      <c r="N107" s="33">
        <f t="shared" si="36"/>
        <v>42.1809523809524</v>
      </c>
      <c r="O107" s="133">
        <v>7029.07</v>
      </c>
      <c r="P107" s="20"/>
      <c r="Q107" s="20"/>
      <c r="R107" s="20"/>
      <c r="S107" s="20"/>
      <c r="T107" s="20"/>
      <c r="U107" s="20"/>
      <c r="W107" s="2"/>
    </row>
    <row r="108" ht="15" customHeight="1" spans="2:23">
      <c r="B108" s="127">
        <f t="shared" si="37"/>
        <v>16</v>
      </c>
      <c r="C108" s="134" t="s">
        <v>214</v>
      </c>
      <c r="D108" s="101">
        <f t="shared" si="33"/>
        <v>130.21</v>
      </c>
      <c r="E108" s="129"/>
      <c r="F108" s="129"/>
      <c r="G108" s="130"/>
      <c r="H108" s="102">
        <f t="shared" si="35"/>
        <v>130.21</v>
      </c>
      <c r="I108" s="131" t="s">
        <v>27</v>
      </c>
      <c r="J108" s="35">
        <v>4537</v>
      </c>
      <c r="K108" s="101">
        <v>287</v>
      </c>
      <c r="L108" s="132"/>
      <c r="M108" s="105"/>
      <c r="N108" s="33">
        <f t="shared" si="36"/>
        <v>281.533333333333</v>
      </c>
      <c r="O108" s="133">
        <v>1</v>
      </c>
      <c r="P108" s="20"/>
      <c r="Q108" s="20"/>
      <c r="R108" s="20"/>
      <c r="S108" s="20"/>
      <c r="T108" s="20"/>
      <c r="U108" s="20"/>
      <c r="W108" s="2"/>
    </row>
    <row r="109" ht="15" customHeight="1" spans="2:23">
      <c r="B109" s="127">
        <f t="shared" si="37"/>
        <v>17</v>
      </c>
      <c r="C109" s="128" t="s">
        <v>215</v>
      </c>
      <c r="D109" s="101">
        <f t="shared" si="33"/>
        <v>44.17</v>
      </c>
      <c r="E109" s="129"/>
      <c r="F109" s="129"/>
      <c r="G109" s="130"/>
      <c r="H109" s="102">
        <f t="shared" si="35"/>
        <v>44.17</v>
      </c>
      <c r="I109" s="131" t="s">
        <v>34</v>
      </c>
      <c r="J109" s="35">
        <v>1630</v>
      </c>
      <c r="K109" s="101">
        <v>271</v>
      </c>
      <c r="L109" s="132"/>
      <c r="M109" s="105"/>
      <c r="N109" s="33">
        <f t="shared" si="36"/>
        <v>265.838095238095</v>
      </c>
      <c r="O109" s="133">
        <v>161.403</v>
      </c>
      <c r="P109" s="20"/>
      <c r="Q109" s="20"/>
      <c r="R109" s="20"/>
      <c r="S109" s="20"/>
      <c r="T109" s="20"/>
      <c r="U109" s="20"/>
      <c r="W109" s="2"/>
    </row>
    <row r="110" ht="15" customHeight="1" spans="2:23">
      <c r="B110" s="127">
        <f t="shared" si="37"/>
        <v>18</v>
      </c>
      <c r="C110" s="128" t="s">
        <v>216</v>
      </c>
      <c r="D110" s="101">
        <f t="shared" si="33"/>
        <v>11.18</v>
      </c>
      <c r="E110" s="129"/>
      <c r="F110" s="129"/>
      <c r="G110" s="130"/>
      <c r="H110" s="102">
        <f t="shared" si="35"/>
        <v>11.18</v>
      </c>
      <c r="I110" s="131" t="s">
        <v>34</v>
      </c>
      <c r="J110" s="35">
        <v>1531</v>
      </c>
      <c r="K110" s="101">
        <v>73</v>
      </c>
      <c r="L110" s="132"/>
      <c r="M110" s="105"/>
      <c r="N110" s="33">
        <f t="shared" si="36"/>
        <v>71.6095238095238</v>
      </c>
      <c r="O110" s="133">
        <v>74.491</v>
      </c>
      <c r="P110" s="20"/>
      <c r="Q110" s="20"/>
      <c r="R110" s="20"/>
      <c r="S110" s="20"/>
      <c r="T110" s="20"/>
      <c r="U110" s="20"/>
      <c r="W110" s="2"/>
    </row>
    <row r="111" ht="15" customHeight="1" spans="2:23">
      <c r="B111" s="127">
        <f t="shared" si="37"/>
        <v>19</v>
      </c>
      <c r="C111" s="134" t="s">
        <v>217</v>
      </c>
      <c r="D111" s="101">
        <f t="shared" si="33"/>
        <v>0</v>
      </c>
      <c r="E111" s="129"/>
      <c r="F111" s="129"/>
      <c r="G111" s="130"/>
      <c r="H111" s="102">
        <f t="shared" si="35"/>
        <v>0</v>
      </c>
      <c r="I111" s="131" t="s">
        <v>119</v>
      </c>
      <c r="J111" s="35">
        <v>0</v>
      </c>
      <c r="K111" s="101">
        <v>1815</v>
      </c>
      <c r="L111" s="132"/>
      <c r="M111" s="105"/>
      <c r="N111" s="33">
        <f t="shared" si="36"/>
        <v>1780.42857142857</v>
      </c>
      <c r="O111" s="133">
        <v>280.33</v>
      </c>
      <c r="P111" s="20"/>
      <c r="Q111" s="20"/>
      <c r="R111" s="20"/>
      <c r="S111" s="20"/>
      <c r="T111" s="20"/>
      <c r="U111" s="20"/>
      <c r="W111" s="2"/>
    </row>
    <row r="112" ht="15" customHeight="1" spans="2:23">
      <c r="B112" s="127">
        <f t="shared" si="37"/>
        <v>20</v>
      </c>
      <c r="C112" s="134" t="s">
        <v>218</v>
      </c>
      <c r="D112" s="101">
        <f t="shared" si="33"/>
        <v>11.13</v>
      </c>
      <c r="E112" s="129"/>
      <c r="F112" s="129"/>
      <c r="G112" s="130"/>
      <c r="H112" s="102">
        <f t="shared" si="35"/>
        <v>11.13</v>
      </c>
      <c r="I112" s="131" t="s">
        <v>119</v>
      </c>
      <c r="J112" s="35">
        <v>40</v>
      </c>
      <c r="K112" s="101">
        <v>2783</v>
      </c>
      <c r="L112" s="132"/>
      <c r="M112" s="105"/>
      <c r="N112" s="33">
        <f t="shared" si="36"/>
        <v>2729.99047619048</v>
      </c>
      <c r="O112" s="133">
        <v>1838</v>
      </c>
      <c r="P112" s="20"/>
      <c r="Q112" s="20"/>
      <c r="R112" s="20"/>
      <c r="S112" s="20"/>
      <c r="T112" s="20"/>
      <c r="U112" s="20"/>
      <c r="W112" s="2"/>
    </row>
    <row r="113" ht="15" customHeight="1" spans="2:25">
      <c r="B113" s="127">
        <f t="shared" si="37"/>
        <v>21</v>
      </c>
      <c r="C113" s="134" t="s">
        <v>219</v>
      </c>
      <c r="D113" s="101">
        <f t="shared" si="33"/>
        <v>15.04</v>
      </c>
      <c r="E113" s="129"/>
      <c r="F113" s="129"/>
      <c r="G113" s="130"/>
      <c r="H113" s="102">
        <f t="shared" si="35"/>
        <v>15.04</v>
      </c>
      <c r="I113" s="131" t="s">
        <v>119</v>
      </c>
      <c r="J113" s="35">
        <v>60</v>
      </c>
      <c r="K113" s="101">
        <v>2506</v>
      </c>
      <c r="L113" s="132"/>
      <c r="M113" s="105"/>
      <c r="N113" s="33">
        <f t="shared" si="36"/>
        <v>2458.26666666667</v>
      </c>
      <c r="O113" s="133">
        <v>2823.25</v>
      </c>
      <c r="P113" s="20"/>
      <c r="Q113" s="20"/>
      <c r="R113" s="20"/>
      <c r="S113" s="20"/>
      <c r="T113" s="20"/>
      <c r="U113" s="20"/>
      <c r="W113" s="2"/>
    </row>
    <row r="114" s="83" customFormat="1" ht="15" customHeight="1" spans="2:25">
      <c r="B114" s="135" t="s">
        <v>45</v>
      </c>
      <c r="C114" s="136" t="s">
        <v>68</v>
      </c>
      <c r="D114" s="137">
        <f>SUM(D115:D121)</f>
        <v>0</v>
      </c>
      <c r="E114" s="137">
        <f>SUM(E115:E121)</f>
        <v>0</v>
      </c>
      <c r="F114" s="137">
        <f>SUM(F115:F121)</f>
        <v>0</v>
      </c>
      <c r="G114" s="137">
        <f>SUM(G115:G121)</f>
        <v>0</v>
      </c>
      <c r="H114" s="137">
        <f>SUM(H115:H121)</f>
        <v>0</v>
      </c>
      <c r="I114" s="138" t="s">
        <v>17</v>
      </c>
      <c r="J114" s="137">
        <f>Q2</f>
        <v>0.785</v>
      </c>
      <c r="K114" s="139">
        <f>H114/J114*10000</f>
        <v>0</v>
      </c>
      <c r="L114" s="140"/>
      <c r="M114" s="141"/>
      <c r="N114" s="142"/>
      <c r="O114" s="142"/>
      <c r="P114" s="119"/>
      <c r="Q114" s="119"/>
      <c r="R114" s="119"/>
      <c r="S114" s="119"/>
      <c r="T114" s="119"/>
      <c r="U114" s="119"/>
      <c r="V114" s="143"/>
      <c r="X114" s="120"/>
      <c r="Y114" s="120"/>
    </row>
    <row r="115" s="83" customFormat="1" ht="15" customHeight="1" spans="2:25">
      <c r="B115" s="121">
        <v>1</v>
      </c>
      <c r="C115" s="144" t="s">
        <v>270</v>
      </c>
      <c r="D115" s="110">
        <f>ROUND(J115*K115/10000,2)</f>
        <v>0</v>
      </c>
      <c r="E115" s="123"/>
      <c r="F115" s="123"/>
      <c r="G115" s="124"/>
      <c r="H115" s="113">
        <f>SUM(D115:G115)</f>
        <v>0</v>
      </c>
      <c r="I115" s="125" t="s">
        <v>34</v>
      </c>
      <c r="J115" s="114">
        <v>0</v>
      </c>
      <c r="K115" s="110">
        <v>6437</v>
      </c>
      <c r="L115" s="126"/>
      <c r="M115" s="116"/>
      <c r="N115" s="117"/>
      <c r="O115" s="118"/>
      <c r="P115" s="119"/>
      <c r="Q115" s="119"/>
      <c r="R115" s="119"/>
      <c r="S115" s="119"/>
      <c r="T115" s="119"/>
      <c r="U115" s="119"/>
      <c r="V115" s="120"/>
      <c r="X115" s="120"/>
      <c r="Y115" s="120"/>
    </row>
    <row r="116" s="83" customFormat="1" ht="15" customHeight="1" spans="2:25">
      <c r="B116" s="121">
        <v>2</v>
      </c>
      <c r="C116" s="144" t="s">
        <v>271</v>
      </c>
      <c r="D116" s="110">
        <f t="shared" ref="D116:D121" si="38">ROUND(J116*K116/10000,2)</f>
        <v>0</v>
      </c>
      <c r="E116" s="123"/>
      <c r="F116" s="123"/>
      <c r="G116" s="124"/>
      <c r="H116" s="113">
        <f t="shared" ref="H116:H121" si="39">SUM(D116:G116)</f>
        <v>0</v>
      </c>
      <c r="I116" s="125" t="s">
        <v>34</v>
      </c>
      <c r="J116" s="114">
        <v>0</v>
      </c>
      <c r="K116" s="110">
        <v>7806</v>
      </c>
      <c r="L116" s="126"/>
      <c r="M116" s="116"/>
      <c r="N116" s="117"/>
      <c r="O116" s="118"/>
      <c r="P116" s="119"/>
      <c r="Q116" s="119"/>
      <c r="R116" s="119"/>
      <c r="S116" s="119"/>
      <c r="T116" s="119"/>
      <c r="U116" s="119"/>
      <c r="V116" s="120"/>
      <c r="X116" s="120"/>
      <c r="Y116" s="120"/>
    </row>
    <row r="117" s="83" customFormat="1" ht="15" customHeight="1" spans="2:25">
      <c r="B117" s="121">
        <v>3</v>
      </c>
      <c r="C117" s="144" t="s">
        <v>223</v>
      </c>
      <c r="D117" s="110">
        <f t="shared" si="38"/>
        <v>0</v>
      </c>
      <c r="E117" s="123"/>
      <c r="F117" s="123"/>
      <c r="G117" s="124"/>
      <c r="H117" s="113">
        <f t="shared" si="39"/>
        <v>0</v>
      </c>
      <c r="I117" s="125" t="s">
        <v>34</v>
      </c>
      <c r="J117" s="114">
        <v>0</v>
      </c>
      <c r="K117" s="110">
        <v>3603</v>
      </c>
      <c r="L117" s="126"/>
      <c r="M117" s="116"/>
      <c r="N117" s="117"/>
      <c r="O117" s="118"/>
      <c r="P117" s="119"/>
      <c r="Q117" s="119"/>
      <c r="R117" s="119"/>
      <c r="S117" s="119"/>
      <c r="T117" s="119"/>
      <c r="U117" s="119"/>
      <c r="V117" s="120"/>
      <c r="X117" s="120"/>
      <c r="Y117" s="120"/>
    </row>
    <row r="118" s="83" customFormat="1" ht="15" customHeight="1" spans="2:25">
      <c r="B118" s="121">
        <v>4</v>
      </c>
      <c r="C118" s="144" t="s">
        <v>224</v>
      </c>
      <c r="D118" s="110">
        <f t="shared" si="38"/>
        <v>0</v>
      </c>
      <c r="E118" s="123"/>
      <c r="F118" s="123"/>
      <c r="G118" s="124"/>
      <c r="H118" s="113">
        <f t="shared" si="39"/>
        <v>0</v>
      </c>
      <c r="I118" s="125" t="s">
        <v>34</v>
      </c>
      <c r="J118" s="114">
        <v>0</v>
      </c>
      <c r="K118" s="110">
        <v>861</v>
      </c>
      <c r="L118" s="126"/>
      <c r="M118" s="116"/>
      <c r="N118" s="117"/>
      <c r="O118" s="118"/>
      <c r="P118" s="119"/>
      <c r="Q118" s="119"/>
      <c r="R118" s="119"/>
      <c r="S118" s="119"/>
      <c r="T118" s="119"/>
      <c r="U118" s="119"/>
      <c r="V118" s="120"/>
      <c r="X118" s="120"/>
      <c r="Y118" s="120"/>
    </row>
    <row r="119" s="83" customFormat="1" ht="15" customHeight="1" spans="2:25">
      <c r="B119" s="121">
        <v>5</v>
      </c>
      <c r="C119" s="144" t="s">
        <v>225</v>
      </c>
      <c r="D119" s="110">
        <f t="shared" si="38"/>
        <v>0</v>
      </c>
      <c r="E119" s="123"/>
      <c r="F119" s="123"/>
      <c r="G119" s="124"/>
      <c r="H119" s="113">
        <f t="shared" si="39"/>
        <v>0</v>
      </c>
      <c r="I119" s="125" t="s">
        <v>119</v>
      </c>
      <c r="J119" s="114">
        <v>0</v>
      </c>
      <c r="K119" s="110">
        <v>10000</v>
      </c>
      <c r="L119" s="126"/>
      <c r="M119" s="116"/>
      <c r="N119" s="117"/>
      <c r="O119" s="118"/>
      <c r="P119" s="119"/>
      <c r="Q119" s="119"/>
      <c r="R119" s="119"/>
      <c r="S119" s="119"/>
      <c r="T119" s="119"/>
      <c r="U119" s="119"/>
      <c r="V119" s="120"/>
      <c r="X119" s="120"/>
      <c r="Y119" s="120"/>
    </row>
    <row r="120" s="83" customFormat="1" ht="15" customHeight="1" spans="2:25">
      <c r="B120" s="121">
        <v>6</v>
      </c>
      <c r="C120" s="144" t="s">
        <v>272</v>
      </c>
      <c r="D120" s="110">
        <f t="shared" si="38"/>
        <v>0</v>
      </c>
      <c r="E120" s="123"/>
      <c r="F120" s="123"/>
      <c r="G120" s="124"/>
      <c r="H120" s="113">
        <f t="shared" si="39"/>
        <v>0</v>
      </c>
      <c r="I120" s="125" t="s">
        <v>119</v>
      </c>
      <c r="J120" s="114">
        <v>0</v>
      </c>
      <c r="K120" s="110">
        <v>16000</v>
      </c>
      <c r="L120" s="126"/>
      <c r="M120" s="116"/>
      <c r="N120" s="117"/>
      <c r="O120" s="118"/>
      <c r="P120" s="119"/>
      <c r="Q120" s="119"/>
      <c r="R120" s="119"/>
      <c r="S120" s="119"/>
      <c r="T120" s="119"/>
      <c r="U120" s="119"/>
      <c r="V120" s="120"/>
      <c r="X120" s="120"/>
      <c r="Y120" s="120"/>
    </row>
    <row r="121" s="83" customFormat="1" ht="15" customHeight="1" spans="2:25">
      <c r="B121" s="121">
        <f>B120+1</f>
        <v>7</v>
      </c>
      <c r="C121" s="144" t="s">
        <v>228</v>
      </c>
      <c r="D121" s="110">
        <f t="shared" si="38"/>
        <v>0</v>
      </c>
      <c r="E121" s="123"/>
      <c r="F121" s="123"/>
      <c r="G121" s="124"/>
      <c r="H121" s="113">
        <f t="shared" si="39"/>
        <v>0</v>
      </c>
      <c r="I121" s="125" t="s">
        <v>119</v>
      </c>
      <c r="J121" s="114">
        <v>0</v>
      </c>
      <c r="K121" s="110">
        <v>1600</v>
      </c>
      <c r="L121" s="126"/>
      <c r="M121" s="116"/>
      <c r="N121" s="117"/>
      <c r="O121" s="118"/>
      <c r="P121" s="119"/>
      <c r="Q121" s="119"/>
      <c r="R121" s="119"/>
      <c r="S121" s="119"/>
      <c r="T121" s="119"/>
      <c r="U121" s="119"/>
      <c r="V121" s="120"/>
      <c r="X121" s="120"/>
      <c r="Y121" s="120"/>
    </row>
    <row r="122" s="83" customFormat="1" ht="15" customHeight="1" spans="2:25">
      <c r="B122" s="135" t="s">
        <v>59</v>
      </c>
      <c r="C122" s="136" t="s">
        <v>73</v>
      </c>
      <c r="D122" s="137">
        <f>SUM(D123:D130)</f>
        <v>312.4</v>
      </c>
      <c r="E122" s="137">
        <f>SUM(E123:E130)</f>
        <v>0</v>
      </c>
      <c r="F122" s="137">
        <f>SUM(F123:F130)</f>
        <v>0</v>
      </c>
      <c r="G122" s="137">
        <f>SUM(G123:G130)</f>
        <v>0</v>
      </c>
      <c r="H122" s="137">
        <f>SUM(H123:H130)</f>
        <v>312.4</v>
      </c>
      <c r="I122" s="138" t="s">
        <v>17</v>
      </c>
      <c r="J122" s="137">
        <f>J114</f>
        <v>0.785</v>
      </c>
      <c r="K122" s="139">
        <f>H122/J122*10000</f>
        <v>3979617.8343949</v>
      </c>
      <c r="L122" s="140"/>
      <c r="M122" s="116"/>
      <c r="N122" s="117"/>
      <c r="O122" s="118"/>
      <c r="P122" s="119"/>
      <c r="Q122" s="119"/>
      <c r="R122" s="119"/>
      <c r="S122" s="119"/>
      <c r="T122" s="119"/>
      <c r="U122" s="119"/>
      <c r="V122" s="120"/>
      <c r="X122" s="120"/>
      <c r="Y122" s="120"/>
    </row>
    <row r="123" s="83" customFormat="1" ht="15" customHeight="1" spans="2:25">
      <c r="B123" s="121">
        <v>1</v>
      </c>
      <c r="C123" s="144" t="s">
        <v>229</v>
      </c>
      <c r="D123" s="110">
        <f t="shared" ref="D123:D130" si="40">ROUND(J123*K123/10000,2)</f>
        <v>94.71</v>
      </c>
      <c r="E123" s="123"/>
      <c r="F123" s="123"/>
      <c r="G123" s="124"/>
      <c r="H123" s="113">
        <f t="shared" ref="H123:H130" si="41">SUM(D123:G123)</f>
        <v>94.71</v>
      </c>
      <c r="I123" s="125" t="s">
        <v>34</v>
      </c>
      <c r="J123" s="114">
        <v>350</v>
      </c>
      <c r="K123" s="110">
        <v>2706</v>
      </c>
      <c r="L123" s="126"/>
      <c r="M123" s="116"/>
      <c r="N123" s="117"/>
      <c r="O123" s="118"/>
      <c r="P123" s="119"/>
      <c r="Q123" s="119"/>
      <c r="R123" s="119"/>
      <c r="S123" s="119"/>
      <c r="T123" s="119"/>
      <c r="U123" s="119"/>
      <c r="V123" s="120"/>
      <c r="X123" s="120"/>
      <c r="Y123" s="120"/>
    </row>
    <row r="124" s="83" customFormat="1" ht="15" customHeight="1" spans="2:25">
      <c r="B124" s="121">
        <v>2</v>
      </c>
      <c r="C124" s="144" t="s">
        <v>273</v>
      </c>
      <c r="D124" s="110">
        <f t="shared" si="40"/>
        <v>193.05</v>
      </c>
      <c r="E124" s="123"/>
      <c r="F124" s="123"/>
      <c r="G124" s="124"/>
      <c r="H124" s="113">
        <f t="shared" si="41"/>
        <v>193.05</v>
      </c>
      <c r="I124" s="125" t="s">
        <v>34</v>
      </c>
      <c r="J124" s="114">
        <v>450</v>
      </c>
      <c r="K124" s="110">
        <v>4290</v>
      </c>
      <c r="L124" s="126"/>
      <c r="M124" s="116"/>
      <c r="N124" s="117"/>
      <c r="O124" s="118"/>
      <c r="P124" s="119"/>
      <c r="Q124" s="119"/>
      <c r="R124" s="119"/>
      <c r="S124" s="119"/>
      <c r="T124" s="119"/>
      <c r="U124" s="119"/>
      <c r="V124" s="120"/>
      <c r="X124" s="120"/>
      <c r="Y124" s="120"/>
    </row>
    <row r="125" s="83" customFormat="1" ht="15" customHeight="1" spans="2:25">
      <c r="B125" s="121">
        <v>3</v>
      </c>
      <c r="C125" s="144" t="s">
        <v>230</v>
      </c>
      <c r="D125" s="110">
        <f t="shared" si="40"/>
        <v>1.09</v>
      </c>
      <c r="E125" s="123"/>
      <c r="F125" s="123"/>
      <c r="G125" s="124"/>
      <c r="H125" s="113">
        <f t="shared" si="41"/>
        <v>1.09</v>
      </c>
      <c r="I125" s="125" t="s">
        <v>34</v>
      </c>
      <c r="J125" s="114">
        <v>350</v>
      </c>
      <c r="K125" s="110">
        <v>31</v>
      </c>
      <c r="L125" s="126"/>
      <c r="M125" s="116"/>
      <c r="N125" s="117"/>
      <c r="O125" s="118"/>
      <c r="P125" s="119"/>
      <c r="Q125" s="119"/>
      <c r="R125" s="119"/>
      <c r="S125" s="119"/>
      <c r="T125" s="119"/>
      <c r="U125" s="119"/>
      <c r="V125" s="120"/>
      <c r="X125" s="120"/>
      <c r="Y125" s="120"/>
    </row>
    <row r="126" s="83" customFormat="1" ht="15" customHeight="1" spans="2:25">
      <c r="B126" s="121">
        <v>4</v>
      </c>
      <c r="C126" s="144" t="s">
        <v>274</v>
      </c>
      <c r="D126" s="110">
        <f t="shared" si="40"/>
        <v>2.3</v>
      </c>
      <c r="E126" s="123"/>
      <c r="F126" s="123"/>
      <c r="G126" s="124"/>
      <c r="H126" s="113">
        <f t="shared" si="41"/>
        <v>2.3</v>
      </c>
      <c r="I126" s="125" t="s">
        <v>34</v>
      </c>
      <c r="J126" s="114">
        <v>450</v>
      </c>
      <c r="K126" s="110">
        <v>51</v>
      </c>
      <c r="L126" s="126"/>
      <c r="M126" s="116"/>
      <c r="N126" s="117"/>
      <c r="O126" s="118"/>
      <c r="P126" s="119"/>
      <c r="Q126" s="119"/>
      <c r="R126" s="119"/>
      <c r="S126" s="119"/>
      <c r="T126" s="119"/>
      <c r="U126" s="119"/>
      <c r="V126" s="120"/>
      <c r="X126" s="120"/>
      <c r="Y126" s="120"/>
    </row>
    <row r="127" s="83" customFormat="1" ht="15" customHeight="1" spans="2:25">
      <c r="B127" s="121">
        <v>5</v>
      </c>
      <c r="C127" s="144" t="s">
        <v>232</v>
      </c>
      <c r="D127" s="110">
        <f t="shared" si="40"/>
        <v>21.25</v>
      </c>
      <c r="E127" s="123"/>
      <c r="F127" s="123"/>
      <c r="G127" s="124"/>
      <c r="H127" s="113">
        <f t="shared" si="41"/>
        <v>21.25</v>
      </c>
      <c r="I127" s="125" t="s">
        <v>119</v>
      </c>
      <c r="J127" s="114">
        <v>25</v>
      </c>
      <c r="K127" s="110">
        <v>8500</v>
      </c>
      <c r="L127" s="126"/>
      <c r="M127" s="116"/>
      <c r="N127" s="117"/>
      <c r="O127" s="118"/>
      <c r="P127" s="119"/>
      <c r="Q127" s="119"/>
      <c r="R127" s="119"/>
      <c r="S127" s="119"/>
      <c r="T127" s="119"/>
      <c r="U127" s="119"/>
      <c r="V127" s="120"/>
      <c r="X127" s="120"/>
      <c r="Y127" s="120"/>
    </row>
    <row r="128" s="83" customFormat="1" ht="15" customHeight="1" spans="2:25">
      <c r="B128" s="121">
        <v>6</v>
      </c>
      <c r="C128" s="144" t="s">
        <v>275</v>
      </c>
      <c r="D128" s="110">
        <f t="shared" si="40"/>
        <v>0</v>
      </c>
      <c r="E128" s="123"/>
      <c r="F128" s="123"/>
      <c r="G128" s="124"/>
      <c r="H128" s="113">
        <f t="shared" si="41"/>
        <v>0</v>
      </c>
      <c r="I128" s="125" t="s">
        <v>276</v>
      </c>
      <c r="J128" s="114">
        <v>0</v>
      </c>
      <c r="K128" s="110">
        <v>4725</v>
      </c>
      <c r="L128" s="126"/>
      <c r="M128" s="116"/>
      <c r="N128" s="117"/>
      <c r="O128" s="118"/>
      <c r="P128" s="119"/>
      <c r="Q128" s="119"/>
      <c r="R128" s="119"/>
      <c r="S128" s="119"/>
      <c r="T128" s="119"/>
      <c r="U128" s="119"/>
      <c r="V128" s="120"/>
      <c r="X128" s="120"/>
      <c r="Y128" s="120"/>
    </row>
    <row r="129" s="83" customFormat="1" ht="15" customHeight="1" spans="1:25">
      <c r="B129" s="121">
        <v>7</v>
      </c>
      <c r="C129" s="144" t="s">
        <v>277</v>
      </c>
      <c r="D129" s="110">
        <f t="shared" si="40"/>
        <v>0</v>
      </c>
      <c r="E129" s="123"/>
      <c r="F129" s="123"/>
      <c r="G129" s="124"/>
      <c r="H129" s="113">
        <f t="shared" si="41"/>
        <v>0</v>
      </c>
      <c r="I129" s="125" t="s">
        <v>34</v>
      </c>
      <c r="J129" s="114">
        <v>0</v>
      </c>
      <c r="K129" s="110">
        <v>2442</v>
      </c>
      <c r="L129" s="126"/>
      <c r="M129" s="116"/>
      <c r="N129" s="117"/>
      <c r="O129" s="118"/>
      <c r="P129" s="119"/>
      <c r="Q129" s="119"/>
      <c r="R129" s="119"/>
      <c r="S129" s="119"/>
      <c r="T129" s="119"/>
      <c r="U129" s="119"/>
      <c r="V129" s="120"/>
      <c r="X129" s="120"/>
      <c r="Y129" s="120"/>
    </row>
    <row r="130" s="83" customFormat="1" ht="15" customHeight="1" spans="1:25">
      <c r="B130" s="121">
        <v>8</v>
      </c>
      <c r="C130" s="144" t="s">
        <v>229</v>
      </c>
      <c r="D130" s="110">
        <f t="shared" si="40"/>
        <v>0</v>
      </c>
      <c r="E130" s="123"/>
      <c r="F130" s="123"/>
      <c r="G130" s="124"/>
      <c r="H130" s="113">
        <f t="shared" si="41"/>
        <v>0</v>
      </c>
      <c r="I130" s="125" t="s">
        <v>34</v>
      </c>
      <c r="J130" s="114">
        <v>0</v>
      </c>
      <c r="K130" s="110">
        <v>2706</v>
      </c>
      <c r="L130" s="126"/>
      <c r="M130" s="116"/>
      <c r="N130" s="117"/>
      <c r="O130" s="118"/>
      <c r="P130" s="119"/>
      <c r="Q130" s="119"/>
      <c r="R130" s="119"/>
      <c r="S130" s="119"/>
      <c r="T130" s="119"/>
      <c r="U130" s="119"/>
      <c r="V130" s="120"/>
      <c r="X130" s="120"/>
      <c r="Y130" s="120"/>
    </row>
    <row r="131" s="83" customFormat="1" ht="15" customHeight="1" spans="1:25">
      <c r="B131" s="135" t="s">
        <v>63</v>
      </c>
      <c r="C131" s="136" t="s">
        <v>64</v>
      </c>
      <c r="D131" s="137">
        <f t="shared" ref="D131:H131" si="42">SUM(D132:D136)</f>
        <v>77.76</v>
      </c>
      <c r="E131" s="137">
        <f t="shared" si="42"/>
        <v>0</v>
      </c>
      <c r="F131" s="137">
        <f t="shared" si="42"/>
        <v>0</v>
      </c>
      <c r="G131" s="137">
        <f t="shared" si="42"/>
        <v>0</v>
      </c>
      <c r="H131" s="137">
        <f t="shared" si="42"/>
        <v>77.76</v>
      </c>
      <c r="I131" s="138" t="s">
        <v>17</v>
      </c>
      <c r="J131" s="137">
        <f>J122</f>
        <v>0.785</v>
      </c>
      <c r="K131" s="139">
        <f>H131/J131*10000</f>
        <v>990573.248407643</v>
      </c>
      <c r="L131" s="140"/>
      <c r="M131" s="116"/>
      <c r="N131" s="117"/>
      <c r="O131" s="118"/>
      <c r="P131" s="119"/>
      <c r="Q131" s="119"/>
      <c r="R131" s="119"/>
      <c r="S131" s="119"/>
      <c r="T131" s="119"/>
      <c r="U131" s="119"/>
      <c r="V131" s="120"/>
      <c r="X131" s="120"/>
      <c r="Y131" s="120"/>
    </row>
    <row r="132" s="2" customFormat="1" ht="15" customHeight="1" spans="1:25">
      <c r="A132" s="83"/>
      <c r="B132" s="127">
        <v>1</v>
      </c>
      <c r="C132" s="134" t="s">
        <v>278</v>
      </c>
      <c r="D132" s="101">
        <f t="shared" ref="D132:D136" si="43">ROUND(J132*K132/10000,2)</f>
        <v>66.8</v>
      </c>
      <c r="E132" s="129"/>
      <c r="F132" s="129"/>
      <c r="G132" s="130"/>
      <c r="H132" s="102">
        <f t="shared" ref="H132:H136" si="44">SUM(D132:G132)</f>
        <v>66.8</v>
      </c>
      <c r="I132" s="131" t="s">
        <v>34</v>
      </c>
      <c r="J132" s="35">
        <v>400</v>
      </c>
      <c r="K132" s="101">
        <v>1670</v>
      </c>
      <c r="L132" s="132"/>
      <c r="M132" s="105"/>
      <c r="N132" s="117"/>
      <c r="O132" s="118"/>
      <c r="P132" s="20"/>
      <c r="Q132" s="20"/>
      <c r="R132" s="20"/>
      <c r="S132" s="20"/>
      <c r="T132" s="20"/>
      <c r="U132" s="20"/>
      <c r="V132" s="6"/>
      <c r="X132" s="6"/>
      <c r="Y132" s="6"/>
    </row>
    <row r="133" s="83" customFormat="1" ht="15" customHeight="1" spans="1:25">
      <c r="B133" s="121">
        <f t="shared" ref="B133:B136" si="45">B132+1</f>
        <v>2</v>
      </c>
      <c r="C133" s="144" t="s">
        <v>234</v>
      </c>
      <c r="D133" s="110">
        <f t="shared" si="43"/>
        <v>3.85</v>
      </c>
      <c r="E133" s="123"/>
      <c r="F133" s="123"/>
      <c r="G133" s="124"/>
      <c r="H133" s="113">
        <f t="shared" si="44"/>
        <v>3.85</v>
      </c>
      <c r="I133" s="125" t="s">
        <v>119</v>
      </c>
      <c r="J133" s="114">
        <v>6</v>
      </c>
      <c r="K133" s="110">
        <v>6419</v>
      </c>
      <c r="L133" s="126"/>
      <c r="M133" s="116"/>
      <c r="N133" s="117"/>
      <c r="O133" s="118"/>
      <c r="P133" s="119"/>
      <c r="Q133" s="119"/>
      <c r="R133" s="119"/>
      <c r="S133" s="119"/>
      <c r="T133" s="119"/>
      <c r="U133" s="119"/>
      <c r="V133" s="120"/>
      <c r="X133" s="120"/>
      <c r="Y133" s="120"/>
    </row>
    <row r="134" s="83" customFormat="1" ht="15" customHeight="1" spans="1:25">
      <c r="B134" s="121">
        <f t="shared" si="45"/>
        <v>3</v>
      </c>
      <c r="C134" s="144" t="s">
        <v>235</v>
      </c>
      <c r="D134" s="110">
        <f t="shared" si="43"/>
        <v>5.7</v>
      </c>
      <c r="E134" s="123"/>
      <c r="F134" s="123"/>
      <c r="G134" s="124"/>
      <c r="H134" s="113">
        <f t="shared" si="44"/>
        <v>5.7</v>
      </c>
      <c r="I134" s="125" t="s">
        <v>119</v>
      </c>
      <c r="J134" s="114">
        <v>4</v>
      </c>
      <c r="K134" s="110">
        <v>14245</v>
      </c>
      <c r="L134" s="126"/>
      <c r="M134" s="116"/>
      <c r="N134" s="117"/>
      <c r="O134" s="118"/>
      <c r="P134" s="119"/>
      <c r="Q134" s="119"/>
      <c r="R134" s="119"/>
      <c r="S134" s="119"/>
      <c r="T134" s="119"/>
      <c r="U134" s="119"/>
      <c r="V134" s="120"/>
      <c r="X134" s="120"/>
      <c r="Y134" s="120"/>
    </row>
    <row r="135" s="83" customFormat="1" ht="15" customHeight="1" spans="1:25">
      <c r="B135" s="121">
        <f t="shared" si="45"/>
        <v>4</v>
      </c>
      <c r="C135" s="144" t="s">
        <v>279</v>
      </c>
      <c r="D135" s="110">
        <f t="shared" si="43"/>
        <v>0.65</v>
      </c>
      <c r="E135" s="123"/>
      <c r="F135" s="123"/>
      <c r="G135" s="124"/>
      <c r="H135" s="113">
        <f t="shared" si="44"/>
        <v>0.65</v>
      </c>
      <c r="I135" s="125" t="s">
        <v>119</v>
      </c>
      <c r="J135" s="114">
        <v>1</v>
      </c>
      <c r="K135" s="110">
        <v>6509</v>
      </c>
      <c r="L135" s="126"/>
      <c r="M135" s="116"/>
      <c r="N135" s="117"/>
      <c r="O135" s="118"/>
      <c r="P135" s="119"/>
      <c r="Q135" s="119"/>
      <c r="R135" s="119"/>
      <c r="S135" s="119"/>
      <c r="T135" s="119"/>
      <c r="U135" s="119"/>
      <c r="V135" s="120"/>
      <c r="X135" s="120"/>
      <c r="Y135" s="120"/>
    </row>
    <row r="136" s="83" customFormat="1" ht="15" customHeight="1" spans="1:25">
      <c r="B136" s="121">
        <f t="shared" si="45"/>
        <v>5</v>
      </c>
      <c r="C136" s="144" t="s">
        <v>280</v>
      </c>
      <c r="D136" s="110">
        <f t="shared" si="43"/>
        <v>0.76</v>
      </c>
      <c r="E136" s="123"/>
      <c r="F136" s="123"/>
      <c r="G136" s="124"/>
      <c r="H136" s="113">
        <f t="shared" si="44"/>
        <v>0.76</v>
      </c>
      <c r="I136" s="125" t="s">
        <v>119</v>
      </c>
      <c r="J136" s="114">
        <v>1</v>
      </c>
      <c r="K136" s="110">
        <v>7616</v>
      </c>
      <c r="L136" s="126"/>
      <c r="M136" s="116"/>
      <c r="N136" s="117"/>
      <c r="O136" s="118"/>
      <c r="P136" s="119"/>
      <c r="Q136" s="119"/>
      <c r="R136" s="119"/>
      <c r="S136" s="119"/>
      <c r="T136" s="119"/>
      <c r="U136" s="119"/>
      <c r="V136" s="120"/>
      <c r="X136" s="120"/>
      <c r="Y136" s="120"/>
    </row>
    <row r="137" s="2" customFormat="1" ht="15" customHeight="1" spans="1:25">
      <c r="B137" s="96" t="s">
        <v>67</v>
      </c>
      <c r="C137" s="26" t="s">
        <v>85</v>
      </c>
      <c r="D137" s="27">
        <f>SUM(D138:D143)</f>
        <v>313.32</v>
      </c>
      <c r="E137" s="27">
        <f>SUM(E138:E143)</f>
        <v>0</v>
      </c>
      <c r="F137" s="27">
        <f>SUM(F138:F143)</f>
        <v>0</v>
      </c>
      <c r="G137" s="27">
        <f>SUM(G138:G143)</f>
        <v>0</v>
      </c>
      <c r="H137" s="27">
        <f>SUM(H138:H143)</f>
        <v>313.32</v>
      </c>
      <c r="I137" s="28" t="s">
        <v>17</v>
      </c>
      <c r="J137" s="27">
        <f>J131</f>
        <v>0.785</v>
      </c>
      <c r="K137" s="29">
        <f>H137/J137*10000</f>
        <v>3991337.57961783</v>
      </c>
      <c r="L137" s="107"/>
      <c r="M137" s="97"/>
      <c r="N137" s="33"/>
      <c r="O137" s="133"/>
      <c r="P137" s="20"/>
      <c r="Q137" s="20"/>
      <c r="R137" s="20"/>
      <c r="S137" s="20"/>
      <c r="T137" s="20"/>
      <c r="U137" s="20"/>
      <c r="V137" s="6"/>
      <c r="X137" s="6"/>
      <c r="Y137" s="6"/>
    </row>
    <row r="138" s="2" customFormat="1" ht="15" customHeight="1" spans="1:25">
      <c r="B138" s="127">
        <v>1</v>
      </c>
      <c r="C138" s="134" t="s">
        <v>281</v>
      </c>
      <c r="D138" s="101">
        <f t="shared" ref="D138:D143" si="46">ROUND(J138*K138/10000,2)</f>
        <v>182.4</v>
      </c>
      <c r="E138" s="129"/>
      <c r="F138" s="129"/>
      <c r="G138" s="130"/>
      <c r="H138" s="102">
        <f t="shared" ref="H138:H143" si="47">SUM(D138:G138)</f>
        <v>182.4</v>
      </c>
      <c r="I138" s="131" t="s">
        <v>34</v>
      </c>
      <c r="J138" s="35">
        <v>800</v>
      </c>
      <c r="K138" s="101">
        <v>2280</v>
      </c>
      <c r="L138" s="132"/>
      <c r="M138" s="105"/>
      <c r="N138" s="33"/>
      <c r="O138" s="133"/>
      <c r="P138" s="20"/>
      <c r="Q138" s="20"/>
      <c r="R138" s="20"/>
      <c r="S138" s="20"/>
      <c r="T138" s="20"/>
      <c r="U138" s="20"/>
      <c r="V138" s="6"/>
      <c r="X138" s="6"/>
      <c r="Y138" s="6"/>
    </row>
    <row r="139" s="2" customFormat="1" ht="15" customHeight="1" spans="1:25">
      <c r="B139" s="127">
        <f t="shared" ref="B139:B143" si="48">B138+1</f>
        <v>2</v>
      </c>
      <c r="C139" s="134" t="s">
        <v>282</v>
      </c>
      <c r="D139" s="101">
        <f t="shared" si="46"/>
        <v>48.36</v>
      </c>
      <c r="E139" s="129"/>
      <c r="F139" s="129"/>
      <c r="G139" s="130"/>
      <c r="H139" s="102">
        <f t="shared" si="47"/>
        <v>48.36</v>
      </c>
      <c r="I139" s="131" t="s">
        <v>34</v>
      </c>
      <c r="J139" s="35">
        <v>150</v>
      </c>
      <c r="K139" s="101">
        <v>3224</v>
      </c>
      <c r="L139" s="132"/>
      <c r="M139" s="105"/>
      <c r="N139" s="33"/>
      <c r="O139" s="133"/>
      <c r="P139" s="20"/>
      <c r="Q139" s="20"/>
      <c r="R139" s="20"/>
      <c r="S139" s="20"/>
      <c r="T139" s="20"/>
      <c r="U139" s="20"/>
      <c r="V139" s="6"/>
      <c r="X139" s="6"/>
      <c r="Y139" s="6"/>
    </row>
    <row r="140" s="2" customFormat="1" ht="15" customHeight="1" spans="1:25">
      <c r="B140" s="127">
        <f t="shared" si="48"/>
        <v>3</v>
      </c>
      <c r="C140" s="134" t="s">
        <v>240</v>
      </c>
      <c r="D140" s="101">
        <f t="shared" si="46"/>
        <v>62.95</v>
      </c>
      <c r="E140" s="129"/>
      <c r="F140" s="129"/>
      <c r="G140" s="130"/>
      <c r="H140" s="102">
        <f t="shared" si="47"/>
        <v>62.95</v>
      </c>
      <c r="I140" s="131" t="s">
        <v>119</v>
      </c>
      <c r="J140" s="35">
        <v>26</v>
      </c>
      <c r="K140" s="101">
        <v>24211</v>
      </c>
      <c r="L140" s="132"/>
      <c r="M140" s="105"/>
      <c r="N140" s="33"/>
      <c r="O140" s="133"/>
      <c r="P140" s="20"/>
      <c r="Q140" s="20"/>
      <c r="R140" s="20"/>
      <c r="S140" s="20"/>
      <c r="T140" s="20"/>
      <c r="U140" s="20"/>
      <c r="V140" s="6"/>
      <c r="X140" s="6"/>
      <c r="Y140" s="6"/>
    </row>
    <row r="141" s="2" customFormat="1" ht="15" customHeight="1" spans="1:25">
      <c r="B141" s="127">
        <f t="shared" si="48"/>
        <v>4</v>
      </c>
      <c r="C141" s="134" t="s">
        <v>241</v>
      </c>
      <c r="D141" s="101">
        <f t="shared" si="46"/>
        <v>12.11</v>
      </c>
      <c r="E141" s="129"/>
      <c r="F141" s="129"/>
      <c r="G141" s="130"/>
      <c r="H141" s="102">
        <f t="shared" si="47"/>
        <v>12.11</v>
      </c>
      <c r="I141" s="131" t="s">
        <v>119</v>
      </c>
      <c r="J141" s="35">
        <v>5</v>
      </c>
      <c r="K141" s="101">
        <v>24211</v>
      </c>
      <c r="L141" s="132"/>
      <c r="M141" s="105"/>
      <c r="N141" s="33"/>
      <c r="O141" s="133"/>
      <c r="P141" s="20"/>
      <c r="Q141" s="20"/>
      <c r="R141" s="20"/>
      <c r="S141" s="20"/>
      <c r="T141" s="20"/>
      <c r="U141" s="20"/>
      <c r="V141" s="6"/>
      <c r="X141" s="6"/>
      <c r="Y141" s="6"/>
    </row>
    <row r="142" s="2" customFormat="1" ht="15" customHeight="1" spans="1:25">
      <c r="B142" s="127">
        <f t="shared" si="48"/>
        <v>5</v>
      </c>
      <c r="C142" s="134" t="s">
        <v>242</v>
      </c>
      <c r="D142" s="101">
        <f t="shared" si="46"/>
        <v>5.7</v>
      </c>
      <c r="E142" s="129"/>
      <c r="F142" s="129"/>
      <c r="G142" s="130"/>
      <c r="H142" s="102">
        <f t="shared" si="47"/>
        <v>5.7</v>
      </c>
      <c r="I142" s="131" t="s">
        <v>34</v>
      </c>
      <c r="J142" s="35">
        <v>1900</v>
      </c>
      <c r="K142" s="101">
        <v>30</v>
      </c>
      <c r="L142" s="132"/>
      <c r="M142" s="105"/>
      <c r="N142" s="33"/>
      <c r="O142" s="133"/>
      <c r="P142" s="20"/>
      <c r="Q142" s="20"/>
      <c r="R142" s="20"/>
      <c r="S142" s="20"/>
      <c r="T142" s="20"/>
      <c r="U142" s="20"/>
      <c r="V142" s="6"/>
      <c r="X142" s="6"/>
      <c r="Y142" s="6"/>
    </row>
    <row r="143" s="2" customFormat="1" ht="15" customHeight="1" spans="1:25">
      <c r="B143" s="127">
        <f t="shared" si="48"/>
        <v>6</v>
      </c>
      <c r="C143" s="134" t="s">
        <v>243</v>
      </c>
      <c r="D143" s="101">
        <f t="shared" si="46"/>
        <v>1.8</v>
      </c>
      <c r="E143" s="129"/>
      <c r="F143" s="129"/>
      <c r="G143" s="130"/>
      <c r="H143" s="102">
        <f t="shared" si="47"/>
        <v>1.8</v>
      </c>
      <c r="I143" s="131" t="s">
        <v>49</v>
      </c>
      <c r="J143" s="35">
        <v>124</v>
      </c>
      <c r="K143" s="101">
        <v>145</v>
      </c>
      <c r="L143" s="132"/>
      <c r="M143" s="105"/>
      <c r="N143" s="33"/>
      <c r="O143" s="133"/>
      <c r="P143" s="20"/>
      <c r="Q143" s="20"/>
      <c r="R143" s="20"/>
      <c r="S143" s="20"/>
      <c r="T143" s="20"/>
      <c r="U143" s="20"/>
      <c r="V143" s="6"/>
      <c r="X143" s="6"/>
      <c r="Y143" s="6"/>
    </row>
    <row r="144" s="2" customFormat="1" ht="15" customHeight="1" spans="1:25">
      <c r="B144" s="96" t="s">
        <v>72</v>
      </c>
      <c r="C144" s="26" t="s">
        <v>90</v>
      </c>
      <c r="D144" s="27">
        <f t="shared" ref="D144:H144" si="49">SUM(D145:D148)</f>
        <v>268.22</v>
      </c>
      <c r="E144" s="27">
        <f t="shared" si="49"/>
        <v>0</v>
      </c>
      <c r="F144" s="27">
        <f t="shared" si="49"/>
        <v>0</v>
      </c>
      <c r="G144" s="27">
        <f t="shared" si="49"/>
        <v>0</v>
      </c>
      <c r="H144" s="27">
        <f t="shared" si="49"/>
        <v>268.22</v>
      </c>
      <c r="I144" s="28" t="s">
        <v>17</v>
      </c>
      <c r="J144" s="27">
        <f>J137</f>
        <v>0.785</v>
      </c>
      <c r="K144" s="29">
        <f>H144/J144*10000</f>
        <v>3416815.2866242</v>
      </c>
      <c r="L144" s="107"/>
      <c r="M144" s="97"/>
      <c r="N144" s="33"/>
      <c r="O144" s="133"/>
      <c r="P144" s="20"/>
      <c r="Q144" s="20"/>
      <c r="R144" s="20"/>
      <c r="S144" s="20"/>
      <c r="T144" s="20"/>
      <c r="U144" s="20"/>
      <c r="V144" s="6"/>
      <c r="X144" s="6"/>
      <c r="Y144" s="6"/>
    </row>
    <row r="145" s="2" customFormat="1" ht="15" customHeight="1" spans="2:25">
      <c r="B145" s="127">
        <v>1</v>
      </c>
      <c r="C145" s="134" t="s">
        <v>283</v>
      </c>
      <c r="D145" s="101">
        <f t="shared" ref="D145:D148" si="50">ROUND(J145*K145/10000,2)</f>
        <v>203.2</v>
      </c>
      <c r="E145" s="129"/>
      <c r="F145" s="129"/>
      <c r="G145" s="130"/>
      <c r="H145" s="102">
        <f t="shared" ref="H145:H148" si="51">SUM(D145:G145)</f>
        <v>203.2</v>
      </c>
      <c r="I145" s="131" t="s">
        <v>34</v>
      </c>
      <c r="J145" s="35">
        <v>800</v>
      </c>
      <c r="K145" s="101">
        <v>2540</v>
      </c>
      <c r="L145" s="132"/>
      <c r="M145" s="105"/>
      <c r="N145" s="33"/>
      <c r="O145" s="133"/>
      <c r="P145" s="20"/>
      <c r="Q145" s="20"/>
      <c r="R145" s="20"/>
      <c r="S145" s="20"/>
      <c r="T145" s="20"/>
      <c r="U145" s="20"/>
      <c r="V145" s="6"/>
      <c r="X145" s="6"/>
      <c r="Y145" s="6"/>
    </row>
    <row r="146" s="2" customFormat="1" ht="15" customHeight="1" spans="2:25">
      <c r="B146" s="127">
        <f t="shared" ref="B146:B148" si="52">B145+1</f>
        <v>2</v>
      </c>
      <c r="C146" s="134" t="s">
        <v>284</v>
      </c>
      <c r="D146" s="101">
        <f t="shared" si="50"/>
        <v>29.57</v>
      </c>
      <c r="E146" s="129"/>
      <c r="F146" s="129"/>
      <c r="G146" s="130"/>
      <c r="H146" s="102">
        <f t="shared" si="51"/>
        <v>29.57</v>
      </c>
      <c r="I146" s="131" t="s">
        <v>34</v>
      </c>
      <c r="J146" s="35">
        <v>150</v>
      </c>
      <c r="K146" s="101">
        <v>1971</v>
      </c>
      <c r="L146" s="132"/>
      <c r="M146" s="105"/>
      <c r="N146" s="33"/>
      <c r="O146" s="133"/>
      <c r="P146" s="20"/>
      <c r="Q146" s="20"/>
      <c r="R146" s="20"/>
      <c r="S146" s="20"/>
      <c r="T146" s="20"/>
      <c r="U146" s="20"/>
      <c r="V146" s="6"/>
      <c r="X146" s="6"/>
      <c r="Y146" s="6"/>
    </row>
    <row r="147" s="2" customFormat="1" ht="15" customHeight="1" spans="2:25">
      <c r="B147" s="127">
        <f t="shared" si="52"/>
        <v>3</v>
      </c>
      <c r="C147" s="134" t="s">
        <v>246</v>
      </c>
      <c r="D147" s="101">
        <f t="shared" si="50"/>
        <v>23.05</v>
      </c>
      <c r="E147" s="129"/>
      <c r="F147" s="129"/>
      <c r="G147" s="130"/>
      <c r="H147" s="102">
        <f t="shared" si="51"/>
        <v>23.05</v>
      </c>
      <c r="I147" s="131" t="s">
        <v>119</v>
      </c>
      <c r="J147" s="35">
        <v>13</v>
      </c>
      <c r="K147" s="101">
        <v>17733</v>
      </c>
      <c r="L147" s="132"/>
      <c r="M147" s="105"/>
      <c r="N147" s="33"/>
      <c r="O147" s="133"/>
      <c r="P147" s="20"/>
      <c r="Q147" s="20"/>
      <c r="R147" s="20"/>
      <c r="S147" s="20"/>
      <c r="T147" s="20"/>
      <c r="U147" s="20"/>
      <c r="V147" s="6"/>
      <c r="X147" s="6"/>
      <c r="Y147" s="6"/>
    </row>
    <row r="148" s="2" customFormat="1" ht="15" customHeight="1" spans="2:25">
      <c r="B148" s="127">
        <f t="shared" si="52"/>
        <v>4</v>
      </c>
      <c r="C148" s="134" t="s">
        <v>247</v>
      </c>
      <c r="D148" s="101">
        <f t="shared" si="50"/>
        <v>12.4</v>
      </c>
      <c r="E148" s="129"/>
      <c r="F148" s="129"/>
      <c r="G148" s="130"/>
      <c r="H148" s="102">
        <f t="shared" si="51"/>
        <v>12.4</v>
      </c>
      <c r="I148" s="131" t="s">
        <v>119</v>
      </c>
      <c r="J148" s="35">
        <v>5</v>
      </c>
      <c r="K148" s="101">
        <v>24793</v>
      </c>
      <c r="L148" s="132"/>
      <c r="M148" s="105"/>
      <c r="N148" s="33"/>
      <c r="O148" s="133"/>
      <c r="P148" s="20"/>
      <c r="Q148" s="20"/>
      <c r="R148" s="20"/>
      <c r="S148" s="20"/>
      <c r="T148" s="20"/>
      <c r="U148" s="20"/>
      <c r="V148" s="6"/>
      <c r="X148" s="6"/>
      <c r="Y148" s="6"/>
    </row>
    <row r="149" s="2" customFormat="1" ht="15" customHeight="1" spans="2:25">
      <c r="B149" s="96" t="s">
        <v>79</v>
      </c>
      <c r="C149" s="26" t="s">
        <v>248</v>
      </c>
      <c r="D149" s="27">
        <f>SUM(D150:D159)</f>
        <v>146.44</v>
      </c>
      <c r="E149" s="27">
        <f>SUM(E150:E159)</f>
        <v>0</v>
      </c>
      <c r="F149" s="27">
        <f>SUM(F150:F159)</f>
        <v>0</v>
      </c>
      <c r="G149" s="27">
        <f>SUM(G150:G159)</f>
        <v>0</v>
      </c>
      <c r="H149" s="27">
        <f>SUM(H150:H159)</f>
        <v>146.44</v>
      </c>
      <c r="I149" s="28" t="s">
        <v>17</v>
      </c>
      <c r="J149" s="27">
        <f>J144</f>
        <v>0.785</v>
      </c>
      <c r="K149" s="29">
        <f>H149/J149*10000</f>
        <v>1865477.70700637</v>
      </c>
      <c r="L149" s="107"/>
      <c r="M149" s="97"/>
      <c r="N149" s="33"/>
      <c r="O149" s="133"/>
      <c r="P149" s="20"/>
      <c r="Q149" s="20"/>
      <c r="R149" s="20"/>
      <c r="S149" s="20"/>
      <c r="T149" s="20"/>
      <c r="U149" s="20"/>
      <c r="V149" s="6"/>
      <c r="X149" s="6"/>
      <c r="Y149" s="6"/>
    </row>
    <row r="150" s="2" customFormat="1" ht="15" customHeight="1" spans="2:25">
      <c r="B150" s="127">
        <v>1</v>
      </c>
      <c r="C150" s="134" t="s">
        <v>285</v>
      </c>
      <c r="D150" s="101">
        <f t="shared" ref="D150:D159" si="53">ROUND(J150*K150/10000,2)</f>
        <v>48.03</v>
      </c>
      <c r="E150" s="129"/>
      <c r="F150" s="129"/>
      <c r="G150" s="130"/>
      <c r="H150" s="102">
        <f t="shared" ref="H150:H159" si="54">SUM(D150:G150)</f>
        <v>48.03</v>
      </c>
      <c r="I150" s="131" t="s">
        <v>52</v>
      </c>
      <c r="J150" s="35">
        <v>50</v>
      </c>
      <c r="K150" s="101">
        <v>9606</v>
      </c>
      <c r="L150" s="132"/>
      <c r="M150" s="105"/>
      <c r="N150" s="33"/>
      <c r="O150" s="133"/>
      <c r="P150" s="20"/>
      <c r="Q150" s="20"/>
      <c r="R150" s="20"/>
      <c r="S150" s="20"/>
      <c r="T150" s="20"/>
      <c r="U150" s="20"/>
      <c r="V150" s="6"/>
      <c r="X150" s="6"/>
      <c r="Y150" s="6"/>
    </row>
    <row r="151" s="2" customFormat="1" ht="15" customHeight="1" spans="2:25">
      <c r="B151" s="127">
        <f t="shared" ref="B151:B159" si="55">B150+1</f>
        <v>2</v>
      </c>
      <c r="C151" s="134" t="s">
        <v>250</v>
      </c>
      <c r="D151" s="101">
        <f t="shared" si="53"/>
        <v>14.14</v>
      </c>
      <c r="E151" s="129"/>
      <c r="F151" s="129"/>
      <c r="G151" s="130"/>
      <c r="H151" s="102">
        <f t="shared" si="54"/>
        <v>14.14</v>
      </c>
      <c r="I151" s="131" t="s">
        <v>52</v>
      </c>
      <c r="J151" s="35">
        <v>6</v>
      </c>
      <c r="K151" s="101">
        <v>23564</v>
      </c>
      <c r="L151" s="132"/>
      <c r="M151" s="105"/>
      <c r="N151" s="33"/>
      <c r="O151" s="133"/>
      <c r="P151" s="20"/>
      <c r="Q151" s="20"/>
      <c r="R151" s="20"/>
      <c r="S151" s="20"/>
      <c r="T151" s="20"/>
      <c r="U151" s="20"/>
      <c r="V151" s="6"/>
      <c r="X151" s="6"/>
      <c r="Y151" s="6"/>
    </row>
    <row r="152" s="2" customFormat="1" ht="15" customHeight="1" spans="2:25">
      <c r="B152" s="127">
        <f t="shared" si="55"/>
        <v>3</v>
      </c>
      <c r="C152" s="134" t="s">
        <v>251</v>
      </c>
      <c r="D152" s="101">
        <f t="shared" si="53"/>
        <v>17.71</v>
      </c>
      <c r="E152" s="129"/>
      <c r="F152" s="129"/>
      <c r="G152" s="130"/>
      <c r="H152" s="102">
        <f t="shared" si="54"/>
        <v>17.71</v>
      </c>
      <c r="I152" s="131" t="s">
        <v>252</v>
      </c>
      <c r="J152" s="35">
        <v>1</v>
      </c>
      <c r="K152" s="101">
        <v>177091</v>
      </c>
      <c r="L152" s="132"/>
      <c r="M152" s="105"/>
      <c r="N152" s="33"/>
      <c r="O152" s="133"/>
      <c r="P152" s="20"/>
      <c r="Q152" s="20"/>
      <c r="R152" s="20"/>
      <c r="S152" s="20"/>
      <c r="T152" s="20"/>
      <c r="U152" s="20"/>
      <c r="V152" s="6"/>
      <c r="X152" s="6"/>
      <c r="Y152" s="6"/>
    </row>
    <row r="153" s="2" customFormat="1" ht="15" customHeight="1" spans="2:25">
      <c r="B153" s="127">
        <f t="shared" si="55"/>
        <v>4</v>
      </c>
      <c r="C153" s="134" t="s">
        <v>253</v>
      </c>
      <c r="D153" s="101">
        <f t="shared" si="53"/>
        <v>4.88</v>
      </c>
      <c r="E153" s="129"/>
      <c r="F153" s="129"/>
      <c r="G153" s="130"/>
      <c r="H153" s="102">
        <f t="shared" si="54"/>
        <v>4.88</v>
      </c>
      <c r="I153" s="131" t="s">
        <v>252</v>
      </c>
      <c r="J153" s="35">
        <v>1</v>
      </c>
      <c r="K153" s="101">
        <v>48762</v>
      </c>
      <c r="L153" s="132"/>
      <c r="M153" s="105"/>
      <c r="N153" s="33"/>
      <c r="O153" s="133"/>
      <c r="P153" s="20"/>
      <c r="Q153" s="20"/>
      <c r="R153" s="20"/>
      <c r="S153" s="20"/>
      <c r="T153" s="20"/>
      <c r="U153" s="20"/>
      <c r="V153" s="6"/>
      <c r="X153" s="6"/>
      <c r="Y153" s="6"/>
    </row>
    <row r="154" s="2" customFormat="1" ht="15" customHeight="1" spans="2:25">
      <c r="B154" s="127">
        <f t="shared" si="55"/>
        <v>5</v>
      </c>
      <c r="C154" s="134" t="s">
        <v>254</v>
      </c>
      <c r="D154" s="101">
        <f t="shared" si="53"/>
        <v>3.26</v>
      </c>
      <c r="E154" s="129"/>
      <c r="F154" s="129"/>
      <c r="G154" s="130"/>
      <c r="H154" s="102">
        <f t="shared" si="54"/>
        <v>3.26</v>
      </c>
      <c r="I154" s="131" t="s">
        <v>119</v>
      </c>
      <c r="J154" s="35">
        <v>15</v>
      </c>
      <c r="K154" s="101">
        <v>2176</v>
      </c>
      <c r="L154" s="132"/>
      <c r="M154" s="105"/>
      <c r="N154" s="33"/>
      <c r="O154" s="133"/>
      <c r="P154" s="20"/>
      <c r="Q154" s="20"/>
      <c r="R154" s="20"/>
      <c r="S154" s="20"/>
      <c r="T154" s="20"/>
      <c r="U154" s="20"/>
      <c r="V154" s="6"/>
      <c r="X154" s="6"/>
      <c r="Y154" s="6"/>
    </row>
    <row r="155" s="2" customFormat="1" ht="15" customHeight="1" spans="2:25">
      <c r="B155" s="127">
        <f t="shared" si="55"/>
        <v>6</v>
      </c>
      <c r="C155" s="134" t="s">
        <v>255</v>
      </c>
      <c r="D155" s="101">
        <f t="shared" si="53"/>
        <v>32.36</v>
      </c>
      <c r="E155" s="129"/>
      <c r="F155" s="129"/>
      <c r="G155" s="130"/>
      <c r="H155" s="102">
        <f t="shared" si="54"/>
        <v>32.36</v>
      </c>
      <c r="I155" s="131" t="s">
        <v>34</v>
      </c>
      <c r="J155" s="35">
        <v>1860</v>
      </c>
      <c r="K155" s="101">
        <v>174</v>
      </c>
      <c r="L155" s="132"/>
      <c r="M155" s="105"/>
      <c r="N155" s="33"/>
      <c r="O155" s="133"/>
      <c r="P155" s="20"/>
      <c r="Q155" s="20"/>
      <c r="R155" s="20"/>
      <c r="S155" s="20"/>
      <c r="T155" s="20"/>
      <c r="U155" s="20"/>
      <c r="V155" s="6"/>
      <c r="X155" s="6"/>
      <c r="Y155" s="6"/>
    </row>
    <row r="156" s="2" customFormat="1" ht="15" customHeight="1" spans="2:25">
      <c r="B156" s="127">
        <f t="shared" si="55"/>
        <v>7</v>
      </c>
      <c r="C156" s="134" t="s">
        <v>256</v>
      </c>
      <c r="D156" s="101">
        <f t="shared" si="53"/>
        <v>19.72</v>
      </c>
      <c r="E156" s="129"/>
      <c r="F156" s="129"/>
      <c r="G156" s="130"/>
      <c r="H156" s="102">
        <f t="shared" si="54"/>
        <v>19.72</v>
      </c>
      <c r="I156" s="131" t="s">
        <v>34</v>
      </c>
      <c r="J156" s="35">
        <v>1700</v>
      </c>
      <c r="K156" s="101">
        <v>116</v>
      </c>
      <c r="L156" s="132"/>
      <c r="M156" s="105"/>
      <c r="N156" s="33"/>
      <c r="O156" s="133"/>
      <c r="P156" s="20"/>
      <c r="Q156" s="20"/>
      <c r="R156" s="20"/>
      <c r="S156" s="20"/>
      <c r="T156" s="20"/>
      <c r="U156" s="20"/>
      <c r="V156" s="6"/>
      <c r="X156" s="6"/>
      <c r="Y156" s="6"/>
    </row>
    <row r="157" s="2" customFormat="1" ht="15" customHeight="1" spans="2:25">
      <c r="B157" s="127">
        <f t="shared" si="55"/>
        <v>8</v>
      </c>
      <c r="C157" s="134" t="s">
        <v>257</v>
      </c>
      <c r="D157" s="101">
        <f t="shared" si="53"/>
        <v>4.99</v>
      </c>
      <c r="E157" s="129"/>
      <c r="F157" s="129"/>
      <c r="G157" s="130"/>
      <c r="H157" s="102">
        <f t="shared" si="54"/>
        <v>4.99</v>
      </c>
      <c r="I157" s="131" t="s">
        <v>49</v>
      </c>
      <c r="J157" s="35">
        <v>320</v>
      </c>
      <c r="K157" s="101">
        <v>156</v>
      </c>
      <c r="L157" s="132"/>
      <c r="M157" s="105"/>
      <c r="N157" s="33"/>
      <c r="O157" s="133"/>
      <c r="P157" s="20"/>
      <c r="Q157" s="20"/>
      <c r="R157" s="20"/>
      <c r="S157" s="20"/>
      <c r="T157" s="20"/>
      <c r="U157" s="20"/>
      <c r="V157" s="6"/>
      <c r="X157" s="6"/>
      <c r="Y157" s="6"/>
    </row>
    <row r="158" s="2" customFormat="1" ht="15" customHeight="1" spans="2:25">
      <c r="B158" s="127">
        <f t="shared" si="55"/>
        <v>9</v>
      </c>
      <c r="C158" s="134" t="s">
        <v>258</v>
      </c>
      <c r="D158" s="101">
        <f t="shared" si="53"/>
        <v>0.36</v>
      </c>
      <c r="E158" s="129"/>
      <c r="F158" s="129"/>
      <c r="G158" s="130"/>
      <c r="H158" s="102">
        <f t="shared" si="54"/>
        <v>0.36</v>
      </c>
      <c r="I158" s="131" t="s">
        <v>34</v>
      </c>
      <c r="J158" s="35">
        <v>120</v>
      </c>
      <c r="K158" s="101">
        <v>30</v>
      </c>
      <c r="L158" s="132"/>
      <c r="M158" s="105"/>
      <c r="N158" s="33"/>
      <c r="O158" s="133"/>
      <c r="P158" s="20"/>
      <c r="Q158" s="20"/>
      <c r="R158" s="20"/>
      <c r="S158" s="20"/>
      <c r="T158" s="20"/>
      <c r="U158" s="20"/>
      <c r="V158" s="6"/>
      <c r="X158" s="6"/>
      <c r="Y158" s="6"/>
    </row>
    <row r="159" s="2" customFormat="1" ht="15" customHeight="1" spans="2:25">
      <c r="B159" s="127">
        <f t="shared" si="55"/>
        <v>10</v>
      </c>
      <c r="C159" s="134" t="s">
        <v>243</v>
      </c>
      <c r="D159" s="101">
        <f t="shared" si="53"/>
        <v>0.99</v>
      </c>
      <c r="E159" s="129"/>
      <c r="F159" s="129"/>
      <c r="G159" s="130"/>
      <c r="H159" s="102">
        <f t="shared" si="54"/>
        <v>0.99</v>
      </c>
      <c r="I159" s="131" t="s">
        <v>49</v>
      </c>
      <c r="J159" s="35">
        <v>68</v>
      </c>
      <c r="K159" s="101">
        <v>145</v>
      </c>
      <c r="L159" s="132"/>
      <c r="M159" s="105"/>
      <c r="N159" s="33"/>
      <c r="O159" s="133"/>
      <c r="P159" s="20"/>
      <c r="Q159" s="20"/>
      <c r="R159" s="20"/>
      <c r="S159" s="20"/>
      <c r="T159" s="20"/>
      <c r="U159" s="20"/>
      <c r="V159" s="6"/>
      <c r="X159" s="6"/>
      <c r="Y159" s="6"/>
    </row>
    <row r="160" ht="15" customHeight="1" spans="2:25">
      <c r="B160" s="96" t="s">
        <v>84</v>
      </c>
      <c r="C160" s="26" t="s">
        <v>259</v>
      </c>
      <c r="D160" s="27">
        <f>SUM(D161:D169)</f>
        <v>93.78</v>
      </c>
      <c r="E160" s="27">
        <f>SUM(E161:E169)</f>
        <v>0</v>
      </c>
      <c r="F160" s="27">
        <f>SUM(F161:F169)</f>
        <v>0</v>
      </c>
      <c r="G160" s="27">
        <f>SUM(G161:G169)</f>
        <v>0</v>
      </c>
      <c r="H160" s="27">
        <f>SUM(H161:H169)</f>
        <v>93.78</v>
      </c>
      <c r="I160" s="28" t="s">
        <v>17</v>
      </c>
      <c r="J160" s="27">
        <f>J89</f>
        <v>0.785</v>
      </c>
      <c r="K160" s="29">
        <f>H160*10000/J160</f>
        <v>1194649.68152866</v>
      </c>
      <c r="L160" s="147"/>
      <c r="M160" s="148"/>
      <c r="N160" s="149"/>
      <c r="O160" s="149"/>
      <c r="P160" s="20"/>
      <c r="Q160" s="20"/>
      <c r="R160" s="20"/>
      <c r="S160" s="20"/>
      <c r="T160" s="20"/>
      <c r="U160" s="20"/>
      <c r="V160" s="34"/>
      <c r="W160" s="2"/>
    </row>
    <row r="161" ht="15" customHeight="1" spans="2:23">
      <c r="B161" s="150">
        <v>1</v>
      </c>
      <c r="C161" s="100" t="s">
        <v>260</v>
      </c>
      <c r="D161" s="101">
        <f t="shared" ref="D161:D169" si="56">ROUND(J161*K161/10000,2)</f>
        <v>39.25</v>
      </c>
      <c r="E161" s="101"/>
      <c r="F161" s="21"/>
      <c r="G161" s="103"/>
      <c r="H161" s="102">
        <f t="shared" ref="H161:H169" si="57">SUM(D161:G161)</f>
        <v>39.25</v>
      </c>
      <c r="I161" s="103" t="s">
        <v>34</v>
      </c>
      <c r="J161" s="35">
        <f>785</f>
        <v>785</v>
      </c>
      <c r="K161" s="101">
        <f>500000/1000</f>
        <v>500</v>
      </c>
      <c r="L161" s="23"/>
      <c r="M161" s="151"/>
      <c r="N161" s="33">
        <f t="shared" ref="N161:N169" si="58">K161/1.05*1.03</f>
        <v>490.47619047619</v>
      </c>
      <c r="O161" s="152">
        <v>73.2</v>
      </c>
      <c r="P161" s="20"/>
      <c r="Q161" s="20"/>
      <c r="R161" s="20"/>
      <c r="S161" s="20"/>
      <c r="T161" s="20"/>
      <c r="U161" s="20"/>
      <c r="W161" s="2"/>
    </row>
    <row r="162" ht="15" customHeight="1" spans="2:23">
      <c r="B162" s="150">
        <v>2</v>
      </c>
      <c r="C162" s="100" t="s">
        <v>261</v>
      </c>
      <c r="D162" s="101">
        <f t="shared" si="56"/>
        <v>0</v>
      </c>
      <c r="E162" s="101"/>
      <c r="F162" s="21"/>
      <c r="G162" s="103"/>
      <c r="H162" s="102">
        <f t="shared" si="57"/>
        <v>0</v>
      </c>
      <c r="I162" s="103" t="s">
        <v>49</v>
      </c>
      <c r="J162" s="35">
        <f t="shared" ref="J162:J167" si="59">SUM(P162:T162)</f>
        <v>0</v>
      </c>
      <c r="K162" s="101">
        <v>66111.6094285714</v>
      </c>
      <c r="L162" s="23"/>
      <c r="M162" s="151"/>
      <c r="N162" s="33">
        <f t="shared" si="58"/>
        <v>64852.340677551</v>
      </c>
      <c r="O162" s="152">
        <v>67395.33</v>
      </c>
      <c r="P162" s="20"/>
      <c r="Q162" s="20"/>
      <c r="R162" s="20"/>
      <c r="S162" s="20"/>
      <c r="T162" s="20"/>
      <c r="U162" s="20"/>
      <c r="W162" s="2"/>
    </row>
    <row r="163" ht="15" customHeight="1" spans="2:23">
      <c r="B163" s="150">
        <v>3</v>
      </c>
      <c r="C163" s="100" t="s">
        <v>262</v>
      </c>
      <c r="D163" s="101">
        <f t="shared" si="56"/>
        <v>0</v>
      </c>
      <c r="E163" s="101"/>
      <c r="F163" s="21"/>
      <c r="G163" s="103"/>
      <c r="H163" s="102">
        <f t="shared" si="57"/>
        <v>0</v>
      </c>
      <c r="I163" s="103" t="s">
        <v>49</v>
      </c>
      <c r="J163" s="35">
        <f t="shared" si="59"/>
        <v>0</v>
      </c>
      <c r="K163" s="101">
        <v>18836.2476190476</v>
      </c>
      <c r="L163" s="23"/>
      <c r="M163" s="151"/>
      <c r="N163" s="33">
        <f t="shared" si="58"/>
        <v>18477.4619501134</v>
      </c>
      <c r="O163" s="152">
        <v>19202</v>
      </c>
      <c r="P163" s="20"/>
      <c r="Q163" s="20"/>
      <c r="R163" s="20"/>
      <c r="S163" s="20"/>
      <c r="T163" s="20"/>
      <c r="U163" s="20"/>
      <c r="W163" s="2"/>
    </row>
    <row r="164" ht="15" customHeight="1" spans="2:23">
      <c r="B164" s="150">
        <v>4</v>
      </c>
      <c r="C164" s="100" t="s">
        <v>263</v>
      </c>
      <c r="D164" s="101">
        <f t="shared" si="56"/>
        <v>0</v>
      </c>
      <c r="E164" s="101"/>
      <c r="F164" s="21"/>
      <c r="G164" s="103"/>
      <c r="H164" s="102">
        <f t="shared" si="57"/>
        <v>0</v>
      </c>
      <c r="I164" s="103" t="s">
        <v>49</v>
      </c>
      <c r="J164" s="35">
        <f t="shared" si="59"/>
        <v>0</v>
      </c>
      <c r="K164" s="101">
        <v>16667.3619047619</v>
      </c>
      <c r="L164" s="23"/>
      <c r="M164" s="151"/>
      <c r="N164" s="33">
        <f t="shared" si="58"/>
        <v>16349.8883446712</v>
      </c>
      <c r="O164" s="152">
        <v>16991</v>
      </c>
      <c r="P164" s="20"/>
      <c r="Q164" s="20"/>
      <c r="R164" s="20"/>
      <c r="S164" s="20"/>
      <c r="T164" s="20"/>
      <c r="U164" s="20"/>
      <c r="W164" s="2"/>
    </row>
    <row r="165" ht="15" customHeight="1" spans="2:23">
      <c r="B165" s="150">
        <v>5</v>
      </c>
      <c r="C165" s="100" t="s">
        <v>264</v>
      </c>
      <c r="D165" s="101">
        <f t="shared" si="56"/>
        <v>0</v>
      </c>
      <c r="E165" s="101"/>
      <c r="F165" s="21"/>
      <c r="G165" s="103"/>
      <c r="H165" s="102">
        <f t="shared" si="57"/>
        <v>0</v>
      </c>
      <c r="I165" s="103" t="s">
        <v>49</v>
      </c>
      <c r="J165" s="35">
        <f t="shared" si="59"/>
        <v>0</v>
      </c>
      <c r="K165" s="101">
        <v>5232.4</v>
      </c>
      <c r="L165" s="23"/>
      <c r="M165" s="151"/>
      <c r="N165" s="33">
        <f t="shared" si="58"/>
        <v>5132.73523809524</v>
      </c>
      <c r="O165" s="152">
        <v>5334</v>
      </c>
      <c r="P165" s="20"/>
      <c r="Q165" s="20"/>
      <c r="R165" s="20"/>
      <c r="S165" s="20"/>
      <c r="T165" s="20"/>
      <c r="U165" s="20"/>
      <c r="W165" s="2"/>
    </row>
    <row r="166" ht="15" customHeight="1" spans="2:23">
      <c r="B166" s="150">
        <v>6</v>
      </c>
      <c r="C166" s="100" t="s">
        <v>265</v>
      </c>
      <c r="D166" s="101">
        <f t="shared" si="56"/>
        <v>0</v>
      </c>
      <c r="E166" s="101"/>
      <c r="F166" s="21"/>
      <c r="G166" s="103"/>
      <c r="H166" s="102">
        <f t="shared" si="57"/>
        <v>0</v>
      </c>
      <c r="I166" s="103" t="s">
        <v>49</v>
      </c>
      <c r="J166" s="35">
        <f t="shared" si="59"/>
        <v>0</v>
      </c>
      <c r="K166" s="101">
        <v>1422.62619047619</v>
      </c>
      <c r="L166" s="23"/>
      <c r="M166" s="151"/>
      <c r="N166" s="33">
        <f t="shared" si="58"/>
        <v>1395.52854875283</v>
      </c>
      <c r="O166" s="152">
        <v>1450.25</v>
      </c>
      <c r="P166" s="20"/>
      <c r="Q166" s="20"/>
      <c r="R166" s="20"/>
      <c r="S166" s="20"/>
      <c r="T166" s="20"/>
      <c r="U166" s="20"/>
      <c r="W166" s="2"/>
    </row>
    <row r="167" ht="15" customHeight="1" spans="2:23">
      <c r="B167" s="150">
        <v>7</v>
      </c>
      <c r="C167" s="40" t="s">
        <v>266</v>
      </c>
      <c r="D167" s="101">
        <f t="shared" si="56"/>
        <v>0</v>
      </c>
      <c r="E167" s="101"/>
      <c r="F167" s="35"/>
      <c r="G167" s="102"/>
      <c r="H167" s="102">
        <f t="shared" si="57"/>
        <v>0</v>
      </c>
      <c r="I167" s="103" t="s">
        <v>49</v>
      </c>
      <c r="J167" s="35">
        <f t="shared" si="59"/>
        <v>0</v>
      </c>
      <c r="K167" s="101">
        <v>1906.97142857143</v>
      </c>
      <c r="L167" s="153"/>
      <c r="M167" s="105"/>
      <c r="N167" s="33">
        <f t="shared" si="58"/>
        <v>1870.64816326531</v>
      </c>
      <c r="O167" s="133">
        <v>1944</v>
      </c>
      <c r="P167" s="20"/>
      <c r="Q167" s="20"/>
      <c r="R167" s="20"/>
      <c r="S167" s="20"/>
      <c r="T167" s="20"/>
      <c r="U167" s="20"/>
      <c r="W167" s="2"/>
    </row>
    <row r="168" ht="15" customHeight="1" spans="2:23">
      <c r="B168" s="150">
        <v>8</v>
      </c>
      <c r="C168" s="40" t="s">
        <v>267</v>
      </c>
      <c r="D168" s="101">
        <f t="shared" si="56"/>
        <v>28.64</v>
      </c>
      <c r="E168" s="101"/>
      <c r="F168" s="35"/>
      <c r="G168" s="102"/>
      <c r="H168" s="102">
        <f t="shared" si="57"/>
        <v>28.64</v>
      </c>
      <c r="I168" s="103" t="s">
        <v>34</v>
      </c>
      <c r="J168" s="35">
        <v>740</v>
      </c>
      <c r="K168" s="101">
        <v>387</v>
      </c>
      <c r="L168" s="153"/>
      <c r="M168" s="105"/>
      <c r="N168" s="33">
        <f t="shared" si="58"/>
        <v>379.628571428571</v>
      </c>
      <c r="O168" s="133">
        <v>283.16</v>
      </c>
      <c r="P168" s="20"/>
      <c r="Q168" s="20"/>
      <c r="R168" s="20"/>
      <c r="S168" s="20"/>
      <c r="T168" s="20"/>
      <c r="U168" s="20"/>
      <c r="W168" s="2"/>
    </row>
    <row r="169" ht="15" customHeight="1" spans="2:23">
      <c r="B169" s="150">
        <v>9</v>
      </c>
      <c r="C169" s="40" t="s">
        <v>268</v>
      </c>
      <c r="D169" s="101">
        <f t="shared" si="56"/>
        <v>25.89</v>
      </c>
      <c r="E169" s="101"/>
      <c r="F169" s="35"/>
      <c r="G169" s="102"/>
      <c r="H169" s="102">
        <f t="shared" si="57"/>
        <v>25.89</v>
      </c>
      <c r="I169" s="103" t="s">
        <v>34</v>
      </c>
      <c r="J169" s="35">
        <v>835</v>
      </c>
      <c r="K169" s="101">
        <v>310</v>
      </c>
      <c r="L169" s="153"/>
      <c r="M169" s="105"/>
      <c r="N169" s="33">
        <f t="shared" si="58"/>
        <v>304.095238095238</v>
      </c>
      <c r="O169" s="133">
        <v>283.16</v>
      </c>
      <c r="P169" s="20"/>
      <c r="Q169" s="20"/>
      <c r="R169" s="20"/>
      <c r="S169" s="20"/>
      <c r="T169" s="20"/>
      <c r="U169" s="20"/>
      <c r="W169" s="2"/>
    </row>
    <row r="170" ht="15" customHeight="1" spans="2:23">
      <c r="B170" s="154" t="s">
        <v>89</v>
      </c>
      <c r="C170" s="155" t="s">
        <v>269</v>
      </c>
      <c r="D170" s="45">
        <f t="shared" ref="D170:H170" si="60">SUM(D171:D171)</f>
        <v>0</v>
      </c>
      <c r="E170" s="45">
        <f t="shared" si="60"/>
        <v>0</v>
      </c>
      <c r="F170" s="45">
        <f t="shared" si="60"/>
        <v>0</v>
      </c>
      <c r="G170" s="45">
        <f t="shared" si="60"/>
        <v>0</v>
      </c>
      <c r="H170" s="45">
        <f t="shared" si="60"/>
        <v>0</v>
      </c>
      <c r="I170" s="28" t="s">
        <v>17</v>
      </c>
      <c r="J170" s="28">
        <f>J89</f>
        <v>0.785</v>
      </c>
      <c r="K170" s="29">
        <f>H170*10000/J170</f>
        <v>0</v>
      </c>
      <c r="L170" s="107"/>
      <c r="M170" s="105"/>
      <c r="N170" s="33"/>
      <c r="O170" s="33"/>
      <c r="P170" s="20"/>
      <c r="Q170" s="20"/>
      <c r="R170" s="20"/>
      <c r="S170" s="20"/>
      <c r="T170" s="20"/>
      <c r="U170" s="20"/>
      <c r="V170" s="20"/>
      <c r="W170" s="2"/>
    </row>
    <row r="171" ht="15" customHeight="1" spans="2:23">
      <c r="B171" s="150">
        <v>1</v>
      </c>
      <c r="C171" s="156" t="s">
        <v>269</v>
      </c>
      <c r="D171" s="45"/>
      <c r="E171" s="101">
        <f>ROUND(J171*K171/10000,2)</f>
        <v>0</v>
      </c>
      <c r="F171" s="21"/>
      <c r="G171" s="103"/>
      <c r="H171" s="102">
        <f t="shared" ref="H171:H175" si="61">SUM(D171:G171)</f>
        <v>0</v>
      </c>
      <c r="I171" s="35" t="s">
        <v>49</v>
      </c>
      <c r="J171" s="35">
        <v>0</v>
      </c>
      <c r="K171" s="101">
        <v>490476.19047619</v>
      </c>
      <c r="L171" s="107"/>
      <c r="M171" s="105"/>
      <c r="N171" s="33">
        <f>K171/1.05*1.03</f>
        <v>481133.786848072</v>
      </c>
      <c r="O171" s="133">
        <v>500000</v>
      </c>
      <c r="P171" s="20"/>
      <c r="Q171" s="20"/>
      <c r="R171" s="20"/>
      <c r="S171" s="20"/>
      <c r="T171" s="20"/>
      <c r="U171" s="20"/>
      <c r="V171" s="20"/>
      <c r="W171" s="2"/>
    </row>
    <row r="172" ht="15" customHeight="1" spans="2:23">
      <c r="B172" s="96">
        <v>1.3</v>
      </c>
      <c r="C172" s="26" t="s">
        <v>179</v>
      </c>
      <c r="D172" s="27">
        <f>D173+D176+D198+D211+D217+D223+D230+D235+D246+D256</f>
        <v>3031.21</v>
      </c>
      <c r="E172" s="27">
        <f>E173+E176+E198+E211+E217+E223+E230+E235+E246+E256</f>
        <v>0</v>
      </c>
      <c r="F172" s="27">
        <f>F173+F176+F198+F211+F217+F223+F230+F235+F246+F256</f>
        <v>0</v>
      </c>
      <c r="G172" s="27">
        <f>G173+G176+G198+G211+G217+G223+G230+G235+G246+G256</f>
        <v>0</v>
      </c>
      <c r="H172" s="27">
        <f>H173+H176+H198+H211+H217+H223+H230+H235+H246+H256</f>
        <v>3031.21</v>
      </c>
      <c r="I172" s="28" t="s">
        <v>17</v>
      </c>
      <c r="J172" s="27">
        <f>R2</f>
        <v>1.3</v>
      </c>
      <c r="K172" s="29">
        <f>H172/J172*10000</f>
        <v>23317000</v>
      </c>
      <c r="L172" s="30"/>
      <c r="M172" s="97"/>
      <c r="N172" s="32"/>
      <c r="O172" s="32"/>
      <c r="P172" s="20"/>
      <c r="Q172" s="20"/>
      <c r="R172" s="20"/>
      <c r="S172" s="20"/>
      <c r="T172" s="20"/>
      <c r="U172" s="20"/>
      <c r="V172" s="34"/>
      <c r="W172" s="2"/>
    </row>
    <row r="173" ht="15" customHeight="1" spans="2:23">
      <c r="B173" s="96" t="s">
        <v>19</v>
      </c>
      <c r="C173" s="26" t="s">
        <v>20</v>
      </c>
      <c r="D173" s="27">
        <f>SUM(D174:D175)</f>
        <v>31.63</v>
      </c>
      <c r="E173" s="27">
        <f t="shared" ref="E173:G173" si="62">SUM(E174:E182)</f>
        <v>0</v>
      </c>
      <c r="F173" s="27">
        <f t="shared" si="62"/>
        <v>0</v>
      </c>
      <c r="G173" s="27">
        <f t="shared" si="62"/>
        <v>0</v>
      </c>
      <c r="H173" s="27">
        <f>SUM(H174:H175)</f>
        <v>31.63</v>
      </c>
      <c r="I173" s="28" t="s">
        <v>17</v>
      </c>
      <c r="J173" s="27">
        <f>J172</f>
        <v>1.3</v>
      </c>
      <c r="K173" s="29">
        <f>H173/J173*10000</f>
        <v>243307.692307692</v>
      </c>
      <c r="L173" s="98"/>
      <c r="M173" s="97"/>
      <c r="N173" s="32"/>
      <c r="O173" s="32"/>
      <c r="P173" s="20"/>
      <c r="Q173" s="20"/>
      <c r="R173" s="20"/>
      <c r="S173" s="20"/>
      <c r="T173" s="20"/>
      <c r="U173" s="20"/>
      <c r="V173" s="20"/>
      <c r="W173" s="2"/>
    </row>
    <row r="174" ht="15" customHeight="1" spans="2:23">
      <c r="B174" s="99">
        <v>1</v>
      </c>
      <c r="C174" s="100" t="s">
        <v>197</v>
      </c>
      <c r="D174" s="101">
        <f t="shared" ref="D174:D197" si="63">ROUND(J174*K174/10000,2)</f>
        <v>29.63</v>
      </c>
      <c r="E174" s="35"/>
      <c r="F174" s="35"/>
      <c r="G174" s="102"/>
      <c r="H174" s="102">
        <f t="shared" si="61"/>
        <v>29.63</v>
      </c>
      <c r="I174" s="103" t="s">
        <v>22</v>
      </c>
      <c r="J174" s="35">
        <f>10293*0.3+20020*0.19</f>
        <v>6891.7</v>
      </c>
      <c r="K174" s="101">
        <v>43</v>
      </c>
      <c r="L174" s="104"/>
      <c r="M174" s="105"/>
      <c r="N174" s="33">
        <f>K174/1.05*1.03</f>
        <v>42.1809523809524</v>
      </c>
      <c r="O174" s="106">
        <v>14.05</v>
      </c>
      <c r="P174" s="20"/>
      <c r="Q174" s="20"/>
      <c r="R174" s="20"/>
      <c r="S174" s="20"/>
      <c r="T174" s="20"/>
      <c r="U174" s="20"/>
      <c r="W174" s="2"/>
    </row>
    <row r="175" ht="15" customHeight="1" spans="2:23">
      <c r="B175" s="99">
        <v>2</v>
      </c>
      <c r="C175" s="100" t="s">
        <v>198</v>
      </c>
      <c r="D175" s="101">
        <f t="shared" si="63"/>
        <v>2</v>
      </c>
      <c r="E175" s="21"/>
      <c r="F175" s="21"/>
      <c r="G175" s="103"/>
      <c r="H175" s="102">
        <f t="shared" si="61"/>
        <v>2</v>
      </c>
      <c r="I175" s="103" t="s">
        <v>27</v>
      </c>
      <c r="J175" s="35">
        <v>20020</v>
      </c>
      <c r="K175" s="101">
        <v>1</v>
      </c>
      <c r="L175" s="18"/>
      <c r="M175" s="105"/>
      <c r="N175" s="33">
        <f>K175/1.05*1.03</f>
        <v>0.980952380952381</v>
      </c>
      <c r="O175" s="106">
        <v>14.67</v>
      </c>
      <c r="P175" s="20"/>
      <c r="Q175" s="20"/>
      <c r="R175" s="20"/>
      <c r="S175" s="20"/>
      <c r="T175" s="20"/>
      <c r="U175" s="20"/>
      <c r="W175" s="2"/>
    </row>
    <row r="176" ht="15" customHeight="1" spans="2:23">
      <c r="B176" s="96" t="s">
        <v>39</v>
      </c>
      <c r="C176" s="26" t="s">
        <v>40</v>
      </c>
      <c r="D176" s="27">
        <f>SUM(D177:D197)</f>
        <v>1537.36</v>
      </c>
      <c r="E176" s="27">
        <f t="shared" ref="E176:G176" si="64">SUM(E177:E185)</f>
        <v>0</v>
      </c>
      <c r="F176" s="27">
        <f t="shared" si="64"/>
        <v>0</v>
      </c>
      <c r="G176" s="27">
        <f t="shared" si="64"/>
        <v>0</v>
      </c>
      <c r="H176" s="27">
        <f>SUM(H177:H197)</f>
        <v>1537.36</v>
      </c>
      <c r="I176" s="28" t="s">
        <v>27</v>
      </c>
      <c r="J176" s="27">
        <f>J182+J192</f>
        <v>28508</v>
      </c>
      <c r="K176" s="29">
        <f>H176*10000/J176</f>
        <v>539.273186473972</v>
      </c>
      <c r="L176" s="107"/>
      <c r="M176" s="97"/>
      <c r="N176" s="32"/>
      <c r="O176" s="32"/>
      <c r="P176" s="20"/>
      <c r="Q176" s="20"/>
      <c r="R176" s="20"/>
      <c r="S176" s="20"/>
      <c r="T176" s="20"/>
      <c r="U176" s="20"/>
      <c r="V176" s="34"/>
      <c r="W176" s="2"/>
    </row>
    <row r="177" s="83" customFormat="1" ht="15" customHeight="1" spans="2:25">
      <c r="B177" s="108">
        <v>1</v>
      </c>
      <c r="C177" s="109" t="s">
        <v>199</v>
      </c>
      <c r="D177" s="110">
        <f t="shared" si="63"/>
        <v>112.93</v>
      </c>
      <c r="E177" s="111"/>
      <c r="F177" s="111"/>
      <c r="G177" s="112"/>
      <c r="H177" s="113">
        <f t="shared" ref="H177:H197" si="65">SUM(D177:G177)</f>
        <v>112.93</v>
      </c>
      <c r="I177" s="112" t="s">
        <v>27</v>
      </c>
      <c r="J177" s="114">
        <v>18215</v>
      </c>
      <c r="K177" s="110">
        <v>62</v>
      </c>
      <c r="L177" s="115"/>
      <c r="M177" s="116"/>
      <c r="N177" s="117">
        <f t="shared" ref="N177:N197" si="66">K177/1.05*1.03</f>
        <v>60.8190476190476</v>
      </c>
      <c r="O177" s="118">
        <v>47.411</v>
      </c>
      <c r="P177" s="119">
        <f>J177*0.62</f>
        <v>11293.3</v>
      </c>
      <c r="Q177" s="119"/>
      <c r="R177" s="119"/>
      <c r="S177" s="119"/>
      <c r="T177" s="119"/>
      <c r="U177" s="119"/>
      <c r="V177" s="120"/>
      <c r="X177" s="120"/>
      <c r="Y177" s="120"/>
    </row>
    <row r="178" s="83" customFormat="1" ht="15" customHeight="1" spans="2:25">
      <c r="B178" s="121">
        <f t="shared" ref="B178:B197" si="67">B177+1</f>
        <v>2</v>
      </c>
      <c r="C178" s="122" t="s">
        <v>200</v>
      </c>
      <c r="D178" s="110">
        <f t="shared" si="63"/>
        <v>30.88</v>
      </c>
      <c r="E178" s="123"/>
      <c r="F178" s="123"/>
      <c r="G178" s="124"/>
      <c r="H178" s="113">
        <f t="shared" si="65"/>
        <v>30.88</v>
      </c>
      <c r="I178" s="125" t="s">
        <v>27</v>
      </c>
      <c r="J178" s="114">
        <v>10293</v>
      </c>
      <c r="K178" s="110">
        <v>30</v>
      </c>
      <c r="L178" s="126"/>
      <c r="M178" s="116"/>
      <c r="N178" s="117">
        <f t="shared" si="66"/>
        <v>29.4285714285714</v>
      </c>
      <c r="O178" s="118">
        <v>83.38</v>
      </c>
      <c r="P178" s="119">
        <f>J178*0.36</f>
        <v>3705.48</v>
      </c>
      <c r="Q178" s="119"/>
      <c r="R178" s="119"/>
      <c r="S178" s="119"/>
      <c r="T178" s="119"/>
      <c r="U178" s="119"/>
      <c r="V178" s="120"/>
      <c r="X178" s="120"/>
      <c r="Y178" s="120"/>
    </row>
    <row r="179" ht="15" customHeight="1" spans="2:25">
      <c r="B179" s="127">
        <f t="shared" si="67"/>
        <v>3</v>
      </c>
      <c r="C179" s="128" t="s">
        <v>201</v>
      </c>
      <c r="D179" s="101">
        <f t="shared" si="63"/>
        <v>3.62</v>
      </c>
      <c r="E179" s="129"/>
      <c r="F179" s="129"/>
      <c r="G179" s="130"/>
      <c r="H179" s="102">
        <f t="shared" si="65"/>
        <v>3.62</v>
      </c>
      <c r="I179" s="131" t="s">
        <v>34</v>
      </c>
      <c r="J179" s="35">
        <v>2783</v>
      </c>
      <c r="K179" s="101">
        <v>13</v>
      </c>
      <c r="L179" s="132"/>
      <c r="M179" s="105"/>
      <c r="N179" s="33">
        <f t="shared" si="66"/>
        <v>12.752380952381</v>
      </c>
      <c r="O179" s="133">
        <v>78.762</v>
      </c>
      <c r="P179" s="20"/>
      <c r="Q179" s="20"/>
      <c r="R179" s="20"/>
      <c r="S179" s="20"/>
      <c r="T179" s="20"/>
      <c r="U179" s="20"/>
      <c r="W179" s="2"/>
    </row>
    <row r="180" ht="15" customHeight="1" spans="2:25">
      <c r="B180" s="127">
        <f t="shared" si="67"/>
        <v>4</v>
      </c>
      <c r="C180" s="128" t="s">
        <v>202</v>
      </c>
      <c r="D180" s="101">
        <f t="shared" si="63"/>
        <v>2.31</v>
      </c>
      <c r="E180" s="129"/>
      <c r="F180" s="129"/>
      <c r="G180" s="130"/>
      <c r="H180" s="102">
        <f t="shared" si="65"/>
        <v>2.31</v>
      </c>
      <c r="I180" s="131" t="s">
        <v>34</v>
      </c>
      <c r="J180" s="35">
        <v>2890</v>
      </c>
      <c r="K180" s="101">
        <v>8</v>
      </c>
      <c r="L180" s="132"/>
      <c r="M180" s="105"/>
      <c r="N180" s="33">
        <f t="shared" si="66"/>
        <v>7.84761904761905</v>
      </c>
      <c r="O180" s="133">
        <v>3.434</v>
      </c>
      <c r="P180" s="20"/>
      <c r="Q180" s="20"/>
      <c r="R180" s="20"/>
      <c r="S180" s="20"/>
      <c r="T180" s="20"/>
      <c r="U180" s="20"/>
      <c r="W180" s="2"/>
    </row>
    <row r="181" ht="15" customHeight="1" spans="2:25">
      <c r="B181" s="127">
        <f t="shared" si="67"/>
        <v>5</v>
      </c>
      <c r="C181" s="128" t="s">
        <v>203</v>
      </c>
      <c r="D181" s="101">
        <f t="shared" si="63"/>
        <v>13.8</v>
      </c>
      <c r="E181" s="129"/>
      <c r="F181" s="129"/>
      <c r="G181" s="130"/>
      <c r="H181" s="102">
        <f t="shared" si="65"/>
        <v>13.8</v>
      </c>
      <c r="I181" s="131" t="s">
        <v>34</v>
      </c>
      <c r="J181" s="35">
        <v>600</v>
      </c>
      <c r="K181" s="101">
        <v>230</v>
      </c>
      <c r="L181" s="132"/>
      <c r="M181" s="105"/>
      <c r="N181" s="33">
        <f t="shared" si="66"/>
        <v>225.619047619048</v>
      </c>
      <c r="O181" s="133">
        <v>21.646</v>
      </c>
      <c r="P181" s="20"/>
      <c r="Q181" s="20"/>
      <c r="R181" s="20"/>
      <c r="S181" s="20"/>
      <c r="T181" s="20"/>
      <c r="U181" s="20"/>
      <c r="W181" s="2"/>
    </row>
    <row r="182" ht="15" customHeight="1" spans="2:25">
      <c r="B182" s="127">
        <f t="shared" si="67"/>
        <v>6</v>
      </c>
      <c r="C182" s="128" t="s">
        <v>204</v>
      </c>
      <c r="D182" s="101">
        <f t="shared" si="63"/>
        <v>191.26</v>
      </c>
      <c r="E182" s="129"/>
      <c r="F182" s="129"/>
      <c r="G182" s="130"/>
      <c r="H182" s="102">
        <f t="shared" si="65"/>
        <v>191.26</v>
      </c>
      <c r="I182" s="131" t="s">
        <v>27</v>
      </c>
      <c r="J182" s="35">
        <v>18215</v>
      </c>
      <c r="K182" s="101">
        <v>105</v>
      </c>
      <c r="L182" s="132"/>
      <c r="M182" s="105"/>
      <c r="N182" s="33">
        <f t="shared" si="66"/>
        <v>103</v>
      </c>
      <c r="O182" s="133">
        <v>6.15</v>
      </c>
      <c r="P182" s="20"/>
      <c r="Q182" s="20"/>
      <c r="R182" s="20"/>
      <c r="S182" s="20"/>
      <c r="T182" s="20"/>
      <c r="U182" s="20"/>
      <c r="W182" s="2"/>
    </row>
    <row r="183" ht="15" customHeight="1" spans="2:25">
      <c r="B183" s="127">
        <f t="shared" si="67"/>
        <v>7</v>
      </c>
      <c r="C183" s="128" t="s">
        <v>205</v>
      </c>
      <c r="D183" s="101">
        <f t="shared" si="63"/>
        <v>0</v>
      </c>
      <c r="E183" s="129"/>
      <c r="F183" s="129"/>
      <c r="G183" s="130"/>
      <c r="H183" s="102">
        <f t="shared" si="65"/>
        <v>0</v>
      </c>
      <c r="I183" s="131" t="s">
        <v>27</v>
      </c>
      <c r="J183" s="35">
        <v>0</v>
      </c>
      <c r="K183" s="101">
        <v>98</v>
      </c>
      <c r="L183" s="132"/>
      <c r="M183" s="105"/>
      <c r="N183" s="33">
        <f t="shared" si="66"/>
        <v>96.1333333333333</v>
      </c>
      <c r="O183" s="133">
        <v>99.778</v>
      </c>
      <c r="P183" s="20"/>
      <c r="Q183" s="20"/>
      <c r="R183" s="20"/>
      <c r="S183" s="20"/>
      <c r="T183" s="20"/>
      <c r="U183" s="20"/>
      <c r="W183" s="2"/>
    </row>
    <row r="184" ht="15" customHeight="1" spans="2:25">
      <c r="B184" s="127">
        <f t="shared" si="67"/>
        <v>8</v>
      </c>
      <c r="C184" s="128" t="s">
        <v>206</v>
      </c>
      <c r="D184" s="101">
        <f t="shared" si="63"/>
        <v>234.97</v>
      </c>
      <c r="E184" s="129"/>
      <c r="F184" s="129"/>
      <c r="G184" s="130"/>
      <c r="H184" s="102">
        <f t="shared" si="65"/>
        <v>234.97</v>
      </c>
      <c r="I184" s="131" t="s">
        <v>27</v>
      </c>
      <c r="J184" s="35">
        <v>18215</v>
      </c>
      <c r="K184" s="101">
        <v>129</v>
      </c>
      <c r="L184" s="132"/>
      <c r="M184" s="105"/>
      <c r="N184" s="33">
        <f t="shared" si="66"/>
        <v>126.542857142857</v>
      </c>
      <c r="O184" s="133">
        <v>95.083</v>
      </c>
      <c r="P184" s="20"/>
      <c r="Q184" s="20"/>
      <c r="R184" s="20"/>
      <c r="S184" s="20"/>
      <c r="T184" s="20"/>
      <c r="U184" s="20"/>
      <c r="W184" s="2"/>
    </row>
    <row r="185" ht="15" customHeight="1" spans="2:25">
      <c r="B185" s="127">
        <f t="shared" si="67"/>
        <v>9</v>
      </c>
      <c r="C185" s="128" t="s">
        <v>207</v>
      </c>
      <c r="D185" s="101">
        <f t="shared" si="63"/>
        <v>0</v>
      </c>
      <c r="E185" s="129"/>
      <c r="F185" s="129"/>
      <c r="G185" s="130"/>
      <c r="H185" s="102">
        <f t="shared" si="65"/>
        <v>0</v>
      </c>
      <c r="I185" s="131" t="s">
        <v>27</v>
      </c>
      <c r="J185" s="35">
        <f t="shared" ref="J185:J190" si="68">SUM(P185:T185)</f>
        <v>0</v>
      </c>
      <c r="K185" s="101">
        <v>132</v>
      </c>
      <c r="L185" s="132"/>
      <c r="M185" s="105"/>
      <c r="N185" s="33">
        <f t="shared" si="66"/>
        <v>129.485714285714</v>
      </c>
      <c r="O185" s="133">
        <v>37.543</v>
      </c>
      <c r="P185" s="20"/>
      <c r="Q185" s="20"/>
      <c r="R185" s="20"/>
      <c r="S185" s="20"/>
      <c r="T185" s="20"/>
      <c r="U185" s="20"/>
      <c r="W185" s="2"/>
    </row>
    <row r="186" ht="15" customHeight="1" spans="2:25">
      <c r="B186" s="127">
        <f t="shared" si="67"/>
        <v>10</v>
      </c>
      <c r="C186" s="128" t="s">
        <v>208</v>
      </c>
      <c r="D186" s="101">
        <f t="shared" si="63"/>
        <v>40.07</v>
      </c>
      <c r="E186" s="129"/>
      <c r="F186" s="129"/>
      <c r="G186" s="130"/>
      <c r="H186" s="102">
        <f t="shared" si="65"/>
        <v>40.07</v>
      </c>
      <c r="I186" s="131" t="s">
        <v>27</v>
      </c>
      <c r="J186" s="35">
        <v>18215</v>
      </c>
      <c r="K186" s="101">
        <v>22</v>
      </c>
      <c r="L186" s="132"/>
      <c r="M186" s="105"/>
      <c r="N186" s="33">
        <f t="shared" si="66"/>
        <v>21.5809523809524</v>
      </c>
      <c r="O186" s="133">
        <v>136.246</v>
      </c>
      <c r="P186" s="20"/>
      <c r="Q186" s="20"/>
      <c r="R186" s="20"/>
      <c r="S186" s="20"/>
      <c r="T186" s="20"/>
      <c r="U186" s="20"/>
      <c r="W186" s="2"/>
    </row>
    <row r="187" ht="15" customHeight="1" spans="2:25">
      <c r="B187" s="127">
        <f t="shared" si="67"/>
        <v>11</v>
      </c>
      <c r="C187" s="128" t="s">
        <v>209</v>
      </c>
      <c r="D187" s="101">
        <f t="shared" si="63"/>
        <v>191.26</v>
      </c>
      <c r="E187" s="129"/>
      <c r="F187" s="129"/>
      <c r="G187" s="130"/>
      <c r="H187" s="102">
        <f t="shared" si="65"/>
        <v>191.26</v>
      </c>
      <c r="I187" s="131" t="s">
        <v>27</v>
      </c>
      <c r="J187" s="35">
        <v>18215</v>
      </c>
      <c r="K187" s="101">
        <v>105</v>
      </c>
      <c r="L187" s="132"/>
      <c r="M187" s="105"/>
      <c r="N187" s="33">
        <f t="shared" si="66"/>
        <v>103</v>
      </c>
      <c r="O187" s="133">
        <v>99.778</v>
      </c>
      <c r="P187" s="20"/>
      <c r="Q187" s="20"/>
      <c r="R187" s="20"/>
      <c r="S187" s="20"/>
      <c r="T187" s="20"/>
      <c r="U187" s="20"/>
      <c r="W187" s="2"/>
    </row>
    <row r="188" ht="15" customHeight="1" spans="2:25">
      <c r="B188" s="127">
        <f t="shared" si="67"/>
        <v>12</v>
      </c>
      <c r="C188" s="128" t="s">
        <v>210</v>
      </c>
      <c r="D188" s="101">
        <f t="shared" si="63"/>
        <v>0</v>
      </c>
      <c r="E188" s="129"/>
      <c r="F188" s="129"/>
      <c r="G188" s="130"/>
      <c r="H188" s="102">
        <f t="shared" si="65"/>
        <v>0</v>
      </c>
      <c r="I188" s="131" t="s">
        <v>27</v>
      </c>
      <c r="J188" s="35">
        <f t="shared" si="68"/>
        <v>0</v>
      </c>
      <c r="K188" s="101">
        <v>99</v>
      </c>
      <c r="L188" s="132"/>
      <c r="M188" s="105"/>
      <c r="N188" s="33">
        <f t="shared" si="66"/>
        <v>97.1142857142857</v>
      </c>
      <c r="O188" s="133">
        <v>49.107</v>
      </c>
      <c r="P188" s="20"/>
      <c r="Q188" s="20"/>
      <c r="R188" s="20"/>
      <c r="S188" s="20"/>
      <c r="T188" s="20"/>
      <c r="U188" s="20"/>
      <c r="W188" s="2"/>
    </row>
    <row r="189" ht="15" customHeight="1" spans="2:25">
      <c r="B189" s="127">
        <f t="shared" si="67"/>
        <v>13</v>
      </c>
      <c r="C189" s="128" t="s">
        <v>211</v>
      </c>
      <c r="D189" s="101">
        <f t="shared" si="63"/>
        <v>174.85</v>
      </c>
      <c r="E189" s="129"/>
      <c r="F189" s="129"/>
      <c r="G189" s="130"/>
      <c r="H189" s="102">
        <f t="shared" si="65"/>
        <v>174.85</v>
      </c>
      <c r="I189" s="131" t="s">
        <v>27</v>
      </c>
      <c r="J189" s="35">
        <v>19214</v>
      </c>
      <c r="K189" s="101">
        <v>91</v>
      </c>
      <c r="L189" s="132"/>
      <c r="M189" s="105"/>
      <c r="N189" s="33">
        <f t="shared" si="66"/>
        <v>89.2666666666667</v>
      </c>
      <c r="O189" s="133">
        <v>279.035</v>
      </c>
      <c r="P189" s="20"/>
      <c r="Q189" s="20"/>
      <c r="R189" s="20"/>
      <c r="S189" s="20"/>
      <c r="T189" s="20"/>
      <c r="U189" s="20"/>
      <c r="W189" s="2"/>
    </row>
    <row r="190" ht="15" customHeight="1" spans="2:25">
      <c r="B190" s="127">
        <f t="shared" si="67"/>
        <v>14</v>
      </c>
      <c r="C190" s="128" t="s">
        <v>212</v>
      </c>
      <c r="D190" s="101">
        <f t="shared" si="63"/>
        <v>0</v>
      </c>
      <c r="E190" s="129"/>
      <c r="F190" s="129"/>
      <c r="G190" s="130"/>
      <c r="H190" s="102">
        <f t="shared" si="65"/>
        <v>0</v>
      </c>
      <c r="I190" s="131" t="s">
        <v>27</v>
      </c>
      <c r="J190" s="35">
        <f t="shared" si="68"/>
        <v>0</v>
      </c>
      <c r="K190" s="101">
        <v>56</v>
      </c>
      <c r="L190" s="132"/>
      <c r="M190" s="105"/>
      <c r="N190" s="33">
        <f t="shared" si="66"/>
        <v>54.9333333333333</v>
      </c>
      <c r="O190" s="133">
        <v>6770.562</v>
      </c>
      <c r="P190" s="20"/>
      <c r="Q190" s="20"/>
      <c r="R190" s="20"/>
      <c r="S190" s="20"/>
      <c r="T190" s="20"/>
      <c r="U190" s="20"/>
      <c r="W190" s="2"/>
    </row>
    <row r="191" ht="15" customHeight="1" spans="2:25">
      <c r="B191" s="127">
        <f t="shared" si="67"/>
        <v>15</v>
      </c>
      <c r="C191" s="128" t="s">
        <v>213</v>
      </c>
      <c r="D191" s="101">
        <f t="shared" si="63"/>
        <v>86.09</v>
      </c>
      <c r="E191" s="129"/>
      <c r="F191" s="129"/>
      <c r="G191" s="130"/>
      <c r="H191" s="102">
        <f t="shared" si="65"/>
        <v>86.09</v>
      </c>
      <c r="I191" s="131" t="s">
        <v>27</v>
      </c>
      <c r="J191" s="35">
        <v>20020</v>
      </c>
      <c r="K191" s="101">
        <v>43</v>
      </c>
      <c r="L191" s="132"/>
      <c r="M191" s="105"/>
      <c r="N191" s="33">
        <f t="shared" si="66"/>
        <v>42.1809523809524</v>
      </c>
      <c r="O191" s="133">
        <v>7029.07</v>
      </c>
      <c r="P191" s="20"/>
      <c r="Q191" s="20"/>
      <c r="R191" s="20"/>
      <c r="S191" s="20"/>
      <c r="T191" s="20"/>
      <c r="U191" s="20"/>
      <c r="W191" s="2"/>
    </row>
    <row r="192" ht="15" customHeight="1" spans="2:25">
      <c r="B192" s="127">
        <f t="shared" si="67"/>
        <v>16</v>
      </c>
      <c r="C192" s="134" t="s">
        <v>214</v>
      </c>
      <c r="D192" s="101">
        <f t="shared" si="63"/>
        <v>295.41</v>
      </c>
      <c r="E192" s="129"/>
      <c r="F192" s="129"/>
      <c r="G192" s="130"/>
      <c r="H192" s="102">
        <f t="shared" si="65"/>
        <v>295.41</v>
      </c>
      <c r="I192" s="131" t="s">
        <v>27</v>
      </c>
      <c r="J192" s="35">
        <v>10293</v>
      </c>
      <c r="K192" s="101">
        <v>287</v>
      </c>
      <c r="L192" s="132"/>
      <c r="M192" s="105"/>
      <c r="N192" s="33">
        <f t="shared" si="66"/>
        <v>281.533333333333</v>
      </c>
      <c r="O192" s="133">
        <v>1</v>
      </c>
      <c r="P192" s="20"/>
      <c r="Q192" s="20"/>
      <c r="R192" s="20"/>
      <c r="S192" s="20"/>
      <c r="T192" s="20"/>
      <c r="U192" s="20"/>
      <c r="W192" s="2"/>
    </row>
    <row r="193" ht="15" customHeight="1" spans="2:25">
      <c r="B193" s="127">
        <f t="shared" si="67"/>
        <v>17</v>
      </c>
      <c r="C193" s="128" t="s">
        <v>215</v>
      </c>
      <c r="D193" s="101">
        <f t="shared" si="63"/>
        <v>75.42</v>
      </c>
      <c r="E193" s="129"/>
      <c r="F193" s="129"/>
      <c r="G193" s="130"/>
      <c r="H193" s="102">
        <f t="shared" si="65"/>
        <v>75.42</v>
      </c>
      <c r="I193" s="131" t="s">
        <v>34</v>
      </c>
      <c r="J193" s="35">
        <v>2783</v>
      </c>
      <c r="K193" s="101">
        <v>271</v>
      </c>
      <c r="L193" s="132"/>
      <c r="M193" s="105"/>
      <c r="N193" s="33">
        <f t="shared" si="66"/>
        <v>265.838095238095</v>
      </c>
      <c r="O193" s="133">
        <v>161.403</v>
      </c>
      <c r="P193" s="20"/>
      <c r="Q193" s="20"/>
      <c r="R193" s="20"/>
      <c r="S193" s="20"/>
      <c r="T193" s="20"/>
      <c r="U193" s="20"/>
      <c r="W193" s="2"/>
    </row>
    <row r="194" ht="15" customHeight="1" spans="2:25">
      <c r="B194" s="127">
        <f t="shared" si="67"/>
        <v>18</v>
      </c>
      <c r="C194" s="128" t="s">
        <v>216</v>
      </c>
      <c r="D194" s="101">
        <f t="shared" si="63"/>
        <v>21.1</v>
      </c>
      <c r="E194" s="129"/>
      <c r="F194" s="129"/>
      <c r="G194" s="130"/>
      <c r="H194" s="102">
        <f t="shared" si="65"/>
        <v>21.1</v>
      </c>
      <c r="I194" s="131" t="s">
        <v>34</v>
      </c>
      <c r="J194" s="35">
        <v>2890</v>
      </c>
      <c r="K194" s="101">
        <v>73</v>
      </c>
      <c r="L194" s="132"/>
      <c r="M194" s="105"/>
      <c r="N194" s="33">
        <f t="shared" si="66"/>
        <v>71.6095238095238</v>
      </c>
      <c r="O194" s="133">
        <v>74.491</v>
      </c>
      <c r="P194" s="20"/>
      <c r="Q194" s="20"/>
      <c r="R194" s="20"/>
      <c r="S194" s="20"/>
      <c r="T194" s="20"/>
      <c r="U194" s="20"/>
      <c r="W194" s="2"/>
    </row>
    <row r="195" ht="15" customHeight="1" spans="2:25">
      <c r="B195" s="127">
        <f t="shared" si="67"/>
        <v>19</v>
      </c>
      <c r="C195" s="134" t="s">
        <v>217</v>
      </c>
      <c r="D195" s="101">
        <f t="shared" si="63"/>
        <v>15.79</v>
      </c>
      <c r="E195" s="129"/>
      <c r="F195" s="129"/>
      <c r="G195" s="130"/>
      <c r="H195" s="102">
        <f t="shared" si="65"/>
        <v>15.79</v>
      </c>
      <c r="I195" s="131" t="s">
        <v>119</v>
      </c>
      <c r="J195" s="35">
        <v>87</v>
      </c>
      <c r="K195" s="101">
        <v>1815</v>
      </c>
      <c r="L195" s="132"/>
      <c r="M195" s="105"/>
      <c r="N195" s="33">
        <f t="shared" si="66"/>
        <v>1780.42857142857</v>
      </c>
      <c r="O195" s="133">
        <v>280.33</v>
      </c>
      <c r="P195" s="20"/>
      <c r="Q195" s="20"/>
      <c r="R195" s="20"/>
      <c r="S195" s="20"/>
      <c r="T195" s="20"/>
      <c r="U195" s="20"/>
      <c r="W195" s="2"/>
    </row>
    <row r="196" ht="15" customHeight="1" spans="2:25">
      <c r="B196" s="127">
        <f t="shared" si="67"/>
        <v>20</v>
      </c>
      <c r="C196" s="134" t="s">
        <v>218</v>
      </c>
      <c r="D196" s="101">
        <f t="shared" si="63"/>
        <v>25.05</v>
      </c>
      <c r="E196" s="129"/>
      <c r="F196" s="129"/>
      <c r="G196" s="130"/>
      <c r="H196" s="102">
        <f t="shared" si="65"/>
        <v>25.05</v>
      </c>
      <c r="I196" s="131" t="s">
        <v>119</v>
      </c>
      <c r="J196" s="35">
        <v>90</v>
      </c>
      <c r="K196" s="101">
        <v>2783</v>
      </c>
      <c r="L196" s="132"/>
      <c r="M196" s="105"/>
      <c r="N196" s="33">
        <f t="shared" si="66"/>
        <v>2729.99047619048</v>
      </c>
      <c r="O196" s="133">
        <v>1838</v>
      </c>
      <c r="P196" s="20"/>
      <c r="Q196" s="20"/>
      <c r="R196" s="20"/>
      <c r="S196" s="20"/>
      <c r="T196" s="20"/>
      <c r="U196" s="20"/>
      <c r="W196" s="2"/>
    </row>
    <row r="197" ht="15" customHeight="1" spans="2:25">
      <c r="B197" s="127">
        <f t="shared" si="67"/>
        <v>21</v>
      </c>
      <c r="C197" s="134" t="s">
        <v>219</v>
      </c>
      <c r="D197" s="101">
        <f t="shared" si="63"/>
        <v>22.55</v>
      </c>
      <c r="E197" s="129"/>
      <c r="F197" s="129"/>
      <c r="G197" s="130"/>
      <c r="H197" s="102">
        <f t="shared" si="65"/>
        <v>22.55</v>
      </c>
      <c r="I197" s="131" t="s">
        <v>119</v>
      </c>
      <c r="J197" s="35">
        <v>90</v>
      </c>
      <c r="K197" s="101">
        <v>2506</v>
      </c>
      <c r="L197" s="132"/>
      <c r="M197" s="105"/>
      <c r="N197" s="33">
        <f t="shared" si="66"/>
        <v>2458.26666666667</v>
      </c>
      <c r="O197" s="133">
        <v>2823.25</v>
      </c>
      <c r="P197" s="20"/>
      <c r="Q197" s="20"/>
      <c r="R197" s="20"/>
      <c r="S197" s="20"/>
      <c r="T197" s="20"/>
      <c r="U197" s="20"/>
      <c r="W197" s="2"/>
    </row>
    <row r="198" s="83" customFormat="1" ht="15" customHeight="1" spans="2:25">
      <c r="B198" s="135" t="s">
        <v>45</v>
      </c>
      <c r="C198" s="136" t="s">
        <v>68</v>
      </c>
      <c r="D198" s="137">
        <f>SUM(D199:D210)</f>
        <v>122.91</v>
      </c>
      <c r="E198" s="137">
        <f>SUM(E199:E210)</f>
        <v>0</v>
      </c>
      <c r="F198" s="137">
        <f>SUM(F199:F210)</f>
        <v>0</v>
      </c>
      <c r="G198" s="137">
        <f>SUM(G199:G210)</f>
        <v>0</v>
      </c>
      <c r="H198" s="137">
        <f>SUM(H199:H210)</f>
        <v>122.91</v>
      </c>
      <c r="I198" s="138" t="s">
        <v>17</v>
      </c>
      <c r="J198" s="137">
        <f>R2</f>
        <v>1.3</v>
      </c>
      <c r="K198" s="139">
        <f>H198/J198*10000</f>
        <v>945461.538461538</v>
      </c>
      <c r="L198" s="140"/>
      <c r="M198" s="141"/>
      <c r="N198" s="142"/>
      <c r="O198" s="142"/>
      <c r="P198" s="119"/>
      <c r="Q198" s="119"/>
      <c r="R198" s="119"/>
      <c r="S198" s="119"/>
      <c r="T198" s="119"/>
      <c r="U198" s="119"/>
      <c r="V198" s="143"/>
      <c r="X198" s="120"/>
      <c r="Y198" s="120"/>
    </row>
    <row r="199" s="83" customFormat="1" ht="15" customHeight="1" spans="2:25">
      <c r="B199" s="121">
        <v>1</v>
      </c>
      <c r="C199" s="144" t="s">
        <v>277</v>
      </c>
      <c r="D199" s="110">
        <f t="shared" ref="D199:D210" si="69">ROUND(J199*K199/10000,2)</f>
        <v>20.76</v>
      </c>
      <c r="E199" s="123"/>
      <c r="F199" s="123"/>
      <c r="G199" s="124"/>
      <c r="H199" s="113">
        <f t="shared" ref="H199:H210" si="70">SUM(D199:G199)</f>
        <v>20.76</v>
      </c>
      <c r="I199" s="125" t="s">
        <v>34</v>
      </c>
      <c r="J199" s="114">
        <v>85</v>
      </c>
      <c r="K199" s="110">
        <v>2442</v>
      </c>
      <c r="L199" s="126"/>
      <c r="M199" s="116"/>
      <c r="N199" s="117">
        <f t="shared" ref="N199:N216" si="71">K199/1.05*1.03</f>
        <v>2395.48571428571</v>
      </c>
      <c r="O199" s="118">
        <v>3257.528</v>
      </c>
      <c r="P199" s="119"/>
      <c r="Q199" s="119"/>
      <c r="R199" s="119"/>
      <c r="S199" s="119"/>
      <c r="T199" s="119"/>
      <c r="U199" s="119"/>
      <c r="V199" s="120"/>
      <c r="X199" s="120"/>
      <c r="Y199" s="120"/>
    </row>
    <row r="200" s="83" customFormat="1" ht="15" customHeight="1" spans="2:25">
      <c r="B200" s="121">
        <v>2</v>
      </c>
      <c r="C200" s="144" t="s">
        <v>286</v>
      </c>
      <c r="D200" s="110">
        <f t="shared" si="69"/>
        <v>42.41</v>
      </c>
      <c r="E200" s="123"/>
      <c r="F200" s="123"/>
      <c r="G200" s="124"/>
      <c r="H200" s="113">
        <f t="shared" si="70"/>
        <v>42.41</v>
      </c>
      <c r="I200" s="125" t="s">
        <v>34</v>
      </c>
      <c r="J200" s="114">
        <v>130</v>
      </c>
      <c r="K200" s="110">
        <v>3262</v>
      </c>
      <c r="L200" s="126"/>
      <c r="M200" s="116"/>
      <c r="N200" s="117">
        <f t="shared" si="71"/>
        <v>3199.86666666667</v>
      </c>
      <c r="O200" s="118">
        <v>3257.528</v>
      </c>
      <c r="P200" s="119"/>
      <c r="Q200" s="119"/>
      <c r="R200" s="119"/>
      <c r="S200" s="119"/>
      <c r="T200" s="119"/>
      <c r="U200" s="119"/>
      <c r="V200" s="120"/>
      <c r="X200" s="120"/>
      <c r="Y200" s="120"/>
    </row>
    <row r="201" s="83" customFormat="1" ht="15" customHeight="1" spans="2:25">
      <c r="B201" s="121">
        <v>3</v>
      </c>
      <c r="C201" s="144" t="s">
        <v>287</v>
      </c>
      <c r="D201" s="110">
        <f t="shared" si="69"/>
        <v>56.9</v>
      </c>
      <c r="E201" s="123"/>
      <c r="F201" s="123"/>
      <c r="G201" s="124"/>
      <c r="H201" s="113">
        <f t="shared" si="70"/>
        <v>56.9</v>
      </c>
      <c r="I201" s="125" t="s">
        <v>34</v>
      </c>
      <c r="J201" s="114">
        <v>80</v>
      </c>
      <c r="K201" s="110">
        <v>7113</v>
      </c>
      <c r="L201" s="126"/>
      <c r="M201" s="116"/>
      <c r="N201" s="117">
        <f t="shared" si="71"/>
        <v>6977.51428571429</v>
      </c>
      <c r="O201" s="118">
        <v>3257.528</v>
      </c>
      <c r="P201" s="119"/>
      <c r="Q201" s="119"/>
      <c r="R201" s="119"/>
      <c r="S201" s="119"/>
      <c r="T201" s="119"/>
      <c r="U201" s="119"/>
      <c r="V201" s="120"/>
      <c r="X201" s="120"/>
      <c r="Y201" s="120"/>
    </row>
    <row r="202" s="83" customFormat="1" ht="15" customHeight="1" spans="2:25">
      <c r="B202" s="121">
        <v>4</v>
      </c>
      <c r="C202" s="144" t="s">
        <v>275</v>
      </c>
      <c r="D202" s="110">
        <f t="shared" si="69"/>
        <v>2.84</v>
      </c>
      <c r="E202" s="123"/>
      <c r="F202" s="123"/>
      <c r="G202" s="124"/>
      <c r="H202" s="113">
        <f t="shared" si="70"/>
        <v>2.84</v>
      </c>
      <c r="I202" s="125" t="s">
        <v>276</v>
      </c>
      <c r="J202" s="114">
        <v>6</v>
      </c>
      <c r="K202" s="110">
        <v>4725</v>
      </c>
      <c r="L202" s="126"/>
      <c r="M202" s="116"/>
      <c r="N202" s="117">
        <f t="shared" si="71"/>
        <v>4635</v>
      </c>
      <c r="O202" s="118">
        <v>3257.528</v>
      </c>
      <c r="P202" s="119"/>
      <c r="Q202" s="119"/>
      <c r="R202" s="119"/>
      <c r="S202" s="119"/>
      <c r="T202" s="119"/>
      <c r="U202" s="119"/>
      <c r="V202" s="120"/>
      <c r="X202" s="120"/>
      <c r="Y202" s="120"/>
    </row>
    <row r="203" s="83" customFormat="1" ht="15" customHeight="1" spans="2:25">
      <c r="B203" s="121">
        <v>5</v>
      </c>
      <c r="C203" s="144" t="s">
        <v>288</v>
      </c>
      <c r="D203" s="110">
        <f t="shared" si="69"/>
        <v>0</v>
      </c>
      <c r="E203" s="123"/>
      <c r="F203" s="123"/>
      <c r="G203" s="124"/>
      <c r="H203" s="113">
        <f t="shared" si="70"/>
        <v>0</v>
      </c>
      <c r="I203" s="125" t="s">
        <v>34</v>
      </c>
      <c r="J203" s="114">
        <v>0</v>
      </c>
      <c r="K203" s="110">
        <v>6260</v>
      </c>
      <c r="L203" s="126"/>
      <c r="M203" s="116"/>
      <c r="N203" s="117">
        <f t="shared" si="71"/>
        <v>6140.7619047619</v>
      </c>
      <c r="O203" s="118">
        <v>3257.528</v>
      </c>
      <c r="P203" s="119"/>
      <c r="Q203" s="119"/>
      <c r="R203" s="119"/>
      <c r="S203" s="119"/>
      <c r="T203" s="119"/>
      <c r="U203" s="119"/>
      <c r="V203" s="120"/>
      <c r="X203" s="120"/>
      <c r="Y203" s="120"/>
    </row>
    <row r="204" s="83" customFormat="1" ht="15" customHeight="1" spans="2:25">
      <c r="B204" s="121">
        <v>6</v>
      </c>
      <c r="C204" s="144" t="s">
        <v>289</v>
      </c>
      <c r="D204" s="110">
        <f t="shared" si="69"/>
        <v>0</v>
      </c>
      <c r="E204" s="123"/>
      <c r="F204" s="123"/>
      <c r="G204" s="124"/>
      <c r="H204" s="113">
        <f t="shared" si="70"/>
        <v>0</v>
      </c>
      <c r="I204" s="125" t="s">
        <v>34</v>
      </c>
      <c r="J204" s="114">
        <v>0</v>
      </c>
      <c r="K204" s="110">
        <v>10507</v>
      </c>
      <c r="L204" s="126"/>
      <c r="M204" s="116"/>
      <c r="N204" s="117">
        <f t="shared" si="71"/>
        <v>10306.8666666667</v>
      </c>
      <c r="O204" s="118">
        <v>70.643</v>
      </c>
      <c r="P204" s="119"/>
      <c r="Q204" s="119"/>
      <c r="R204" s="119"/>
      <c r="S204" s="119"/>
      <c r="T204" s="119"/>
      <c r="U204" s="119"/>
      <c r="V204" s="120"/>
      <c r="X204" s="120"/>
      <c r="Y204" s="120"/>
    </row>
    <row r="205" s="83" customFormat="1" ht="15" customHeight="1" spans="2:25">
      <c r="B205" s="121">
        <v>7</v>
      </c>
      <c r="C205" s="144" t="s">
        <v>290</v>
      </c>
      <c r="D205" s="110">
        <f t="shared" si="69"/>
        <v>0</v>
      </c>
      <c r="E205" s="123"/>
      <c r="F205" s="123"/>
      <c r="G205" s="124"/>
      <c r="H205" s="113">
        <f t="shared" si="70"/>
        <v>0</v>
      </c>
      <c r="I205" s="125" t="s">
        <v>34</v>
      </c>
      <c r="J205" s="114">
        <v>0</v>
      </c>
      <c r="K205" s="110">
        <v>14793</v>
      </c>
      <c r="L205" s="126"/>
      <c r="M205" s="116"/>
      <c r="N205" s="117">
        <f t="shared" si="71"/>
        <v>14511.2285714286</v>
      </c>
      <c r="O205" s="118">
        <v>0</v>
      </c>
      <c r="P205" s="119"/>
      <c r="Q205" s="119"/>
      <c r="R205" s="119"/>
      <c r="S205" s="119"/>
      <c r="T205" s="119"/>
      <c r="U205" s="119"/>
      <c r="V205" s="120"/>
      <c r="X205" s="120"/>
      <c r="Y205" s="120"/>
    </row>
    <row r="206" s="83" customFormat="1" ht="15" customHeight="1" spans="2:25">
      <c r="B206" s="121">
        <v>8</v>
      </c>
      <c r="C206" s="144" t="s">
        <v>224</v>
      </c>
      <c r="D206" s="110">
        <f t="shared" si="69"/>
        <v>0</v>
      </c>
      <c r="E206" s="123"/>
      <c r="F206" s="123"/>
      <c r="G206" s="124"/>
      <c r="H206" s="113">
        <f t="shared" si="70"/>
        <v>0</v>
      </c>
      <c r="I206" s="125" t="s">
        <v>34</v>
      </c>
      <c r="J206" s="114">
        <v>0</v>
      </c>
      <c r="K206" s="110">
        <v>723</v>
      </c>
      <c r="L206" s="126"/>
      <c r="M206" s="116"/>
      <c r="N206" s="117">
        <f t="shared" si="71"/>
        <v>709.228571428571</v>
      </c>
      <c r="O206" s="118">
        <v>3208.49</v>
      </c>
      <c r="P206" s="119"/>
      <c r="Q206" s="119"/>
      <c r="R206" s="119"/>
      <c r="S206" s="119"/>
      <c r="T206" s="119"/>
      <c r="U206" s="119"/>
      <c r="V206" s="120"/>
      <c r="X206" s="120"/>
      <c r="Y206" s="120"/>
    </row>
    <row r="207" s="83" customFormat="1" ht="15" customHeight="1" spans="2:25">
      <c r="B207" s="121">
        <v>9</v>
      </c>
      <c r="C207" s="144" t="s">
        <v>272</v>
      </c>
      <c r="D207" s="110">
        <f t="shared" si="69"/>
        <v>0</v>
      </c>
      <c r="E207" s="123"/>
      <c r="F207" s="123"/>
      <c r="G207" s="124"/>
      <c r="H207" s="113">
        <f t="shared" si="70"/>
        <v>0</v>
      </c>
      <c r="I207" s="125" t="s">
        <v>119</v>
      </c>
      <c r="J207" s="114">
        <v>0</v>
      </c>
      <c r="K207" s="110">
        <v>16000</v>
      </c>
      <c r="L207" s="126"/>
      <c r="M207" s="116"/>
      <c r="N207" s="117">
        <f t="shared" si="71"/>
        <v>15695.2380952381</v>
      </c>
      <c r="O207" s="118">
        <v>2709.276</v>
      </c>
      <c r="P207" s="119"/>
      <c r="Q207" s="119"/>
      <c r="R207" s="119"/>
      <c r="S207" s="119"/>
      <c r="T207" s="119"/>
      <c r="U207" s="119"/>
      <c r="V207" s="120"/>
      <c r="X207" s="120"/>
      <c r="Y207" s="120"/>
    </row>
    <row r="208" s="83" customFormat="1" ht="15" customHeight="1" spans="2:25">
      <c r="B208" s="121">
        <v>10</v>
      </c>
      <c r="C208" s="144" t="s">
        <v>226</v>
      </c>
      <c r="D208" s="110">
        <f t="shared" si="69"/>
        <v>0</v>
      </c>
      <c r="E208" s="123"/>
      <c r="F208" s="123"/>
      <c r="G208" s="124"/>
      <c r="H208" s="113">
        <f t="shared" si="70"/>
        <v>0</v>
      </c>
      <c r="I208" s="125" t="s">
        <v>119</v>
      </c>
      <c r="J208" s="114">
        <v>0</v>
      </c>
      <c r="K208" s="110">
        <v>20000</v>
      </c>
      <c r="L208" s="126"/>
      <c r="M208" s="116"/>
      <c r="N208" s="117">
        <f t="shared" si="71"/>
        <v>19619.0476190476</v>
      </c>
      <c r="O208" s="118">
        <v>2709.276</v>
      </c>
      <c r="P208" s="119"/>
      <c r="Q208" s="119"/>
      <c r="R208" s="119"/>
      <c r="S208" s="119"/>
      <c r="T208" s="119"/>
      <c r="U208" s="119"/>
      <c r="V208" s="120"/>
      <c r="X208" s="120"/>
      <c r="Y208" s="120"/>
    </row>
    <row r="209" s="83" customFormat="1" ht="15" customHeight="1" spans="1:25">
      <c r="B209" s="121">
        <v>11</v>
      </c>
      <c r="C209" s="144" t="s">
        <v>227</v>
      </c>
      <c r="D209" s="110">
        <f t="shared" si="69"/>
        <v>0</v>
      </c>
      <c r="E209" s="123"/>
      <c r="F209" s="123"/>
      <c r="G209" s="124"/>
      <c r="H209" s="113">
        <f t="shared" si="70"/>
        <v>0</v>
      </c>
      <c r="I209" s="125" t="s">
        <v>119</v>
      </c>
      <c r="J209" s="114">
        <v>0</v>
      </c>
      <c r="K209" s="110">
        <v>28000</v>
      </c>
      <c r="L209" s="126"/>
      <c r="M209" s="116"/>
      <c r="N209" s="117">
        <f t="shared" si="71"/>
        <v>27466.6666666667</v>
      </c>
      <c r="O209" s="118">
        <v>1109.474</v>
      </c>
      <c r="P209" s="119"/>
      <c r="Q209" s="119"/>
      <c r="R209" s="119"/>
      <c r="S209" s="119"/>
      <c r="T209" s="119"/>
      <c r="U209" s="119"/>
      <c r="V209" s="120"/>
      <c r="X209" s="120"/>
      <c r="Y209" s="120"/>
    </row>
    <row r="210" s="83" customFormat="1" ht="15" customHeight="1" spans="1:25">
      <c r="B210" s="121">
        <v>12</v>
      </c>
      <c r="C210" s="144" t="s">
        <v>228</v>
      </c>
      <c r="D210" s="110">
        <f t="shared" si="69"/>
        <v>0</v>
      </c>
      <c r="E210" s="123"/>
      <c r="F210" s="123"/>
      <c r="G210" s="124"/>
      <c r="H210" s="113">
        <f t="shared" si="70"/>
        <v>0</v>
      </c>
      <c r="I210" s="125" t="s">
        <v>119</v>
      </c>
      <c r="J210" s="114">
        <v>0</v>
      </c>
      <c r="K210" s="110">
        <v>1600</v>
      </c>
      <c r="L210" s="126"/>
      <c r="M210" s="116"/>
      <c r="N210" s="117">
        <f t="shared" si="71"/>
        <v>1569.52380952381</v>
      </c>
      <c r="O210" s="118">
        <v>2677.677</v>
      </c>
      <c r="P210" s="119"/>
      <c r="Q210" s="119"/>
      <c r="R210" s="119"/>
      <c r="S210" s="119"/>
      <c r="T210" s="119"/>
      <c r="U210" s="119"/>
      <c r="V210" s="120"/>
      <c r="X210" s="120"/>
      <c r="Y210" s="120"/>
    </row>
    <row r="211" s="83" customFormat="1" ht="15" customHeight="1" spans="1:25">
      <c r="B211" s="135" t="s">
        <v>59</v>
      </c>
      <c r="C211" s="136" t="s">
        <v>73</v>
      </c>
      <c r="D211" s="137">
        <f>SUM(D212:D216)</f>
        <v>208.1</v>
      </c>
      <c r="E211" s="137">
        <f>SUM(E212:E216)</f>
        <v>0</v>
      </c>
      <c r="F211" s="137">
        <f>SUM(F212:F216)</f>
        <v>0</v>
      </c>
      <c r="G211" s="137">
        <f>SUM(G212:G216)</f>
        <v>0</v>
      </c>
      <c r="H211" s="137">
        <f>SUM(H212:H216)</f>
        <v>208.1</v>
      </c>
      <c r="I211" s="138" t="s">
        <v>17</v>
      </c>
      <c r="J211" s="137">
        <f>J198</f>
        <v>1.3</v>
      </c>
      <c r="K211" s="139">
        <f>H211/J211*10000</f>
        <v>1600769.23076923</v>
      </c>
      <c r="L211" s="140"/>
      <c r="M211" s="116"/>
      <c r="N211" s="117">
        <f t="shared" si="71"/>
        <v>1570278.38827839</v>
      </c>
      <c r="O211" s="118">
        <v>2842.898</v>
      </c>
      <c r="P211" s="119"/>
      <c r="Q211" s="119"/>
      <c r="R211" s="119"/>
      <c r="S211" s="119"/>
      <c r="T211" s="119"/>
      <c r="U211" s="119"/>
      <c r="V211" s="120"/>
      <c r="X211" s="120"/>
      <c r="Y211" s="120"/>
    </row>
    <row r="212" s="83" customFormat="1" ht="15" customHeight="1" spans="1:25">
      <c r="B212" s="121">
        <v>1</v>
      </c>
      <c r="C212" s="144" t="s">
        <v>273</v>
      </c>
      <c r="D212" s="110">
        <f>ROUND(J212*K212/10000,2)</f>
        <v>193.05</v>
      </c>
      <c r="E212" s="123"/>
      <c r="F212" s="123"/>
      <c r="G212" s="124"/>
      <c r="H212" s="113">
        <f>SUM(D212:G212)</f>
        <v>193.05</v>
      </c>
      <c r="I212" s="125" t="s">
        <v>34</v>
      </c>
      <c r="J212" s="114">
        <v>450</v>
      </c>
      <c r="K212" s="110">
        <v>4290</v>
      </c>
      <c r="L212" s="126"/>
      <c r="M212" s="116"/>
      <c r="N212" s="117">
        <f t="shared" si="71"/>
        <v>4208.28571428571</v>
      </c>
      <c r="O212" s="118">
        <v>1642.779</v>
      </c>
      <c r="P212" s="119"/>
      <c r="Q212" s="119"/>
      <c r="R212" s="119"/>
      <c r="S212" s="119"/>
      <c r="T212" s="119"/>
      <c r="U212" s="119"/>
      <c r="V212" s="120"/>
      <c r="X212" s="120"/>
      <c r="Y212" s="120"/>
    </row>
    <row r="213" s="83" customFormat="1" ht="15" customHeight="1" spans="1:25">
      <c r="B213" s="121">
        <v>4</v>
      </c>
      <c r="C213" s="144" t="s">
        <v>274</v>
      </c>
      <c r="D213" s="110">
        <f>ROUND(J213*K213/10000,2)</f>
        <v>2.3</v>
      </c>
      <c r="E213" s="123"/>
      <c r="F213" s="123"/>
      <c r="G213" s="124"/>
      <c r="H213" s="113">
        <f>SUM(D213:G213)</f>
        <v>2.3</v>
      </c>
      <c r="I213" s="125" t="s">
        <v>34</v>
      </c>
      <c r="J213" s="114">
        <v>450</v>
      </c>
      <c r="K213" s="110">
        <v>51</v>
      </c>
      <c r="L213" s="126"/>
      <c r="M213" s="116"/>
      <c r="N213" s="117">
        <f t="shared" si="71"/>
        <v>50.0285714285714</v>
      </c>
      <c r="O213" s="118">
        <v>237.666</v>
      </c>
      <c r="P213" s="119"/>
      <c r="Q213" s="119"/>
      <c r="R213" s="119"/>
      <c r="S213" s="119"/>
      <c r="T213" s="119"/>
      <c r="U213" s="119"/>
      <c r="V213" s="120"/>
      <c r="X213" s="120"/>
      <c r="Y213" s="120"/>
    </row>
    <row r="214" s="83" customFormat="1" ht="15" customHeight="1" spans="1:25">
      <c r="B214" s="121">
        <v>5</v>
      </c>
      <c r="C214" s="144" t="s">
        <v>232</v>
      </c>
      <c r="D214" s="110">
        <f>ROUND(J214*K214/10000,2)</f>
        <v>12.75</v>
      </c>
      <c r="E214" s="123"/>
      <c r="F214" s="123"/>
      <c r="G214" s="124"/>
      <c r="H214" s="113">
        <f>SUM(D214:G214)</f>
        <v>12.75</v>
      </c>
      <c r="I214" s="125" t="s">
        <v>119</v>
      </c>
      <c r="J214" s="114">
        <v>15</v>
      </c>
      <c r="K214" s="110">
        <v>8500</v>
      </c>
      <c r="L214" s="126"/>
      <c r="M214" s="116"/>
      <c r="N214" s="117">
        <f t="shared" si="71"/>
        <v>8338.09523809524</v>
      </c>
      <c r="O214" s="118">
        <v>375.908</v>
      </c>
      <c r="P214" s="119"/>
      <c r="Q214" s="119"/>
      <c r="R214" s="119"/>
      <c r="S214" s="119"/>
      <c r="T214" s="119"/>
      <c r="U214" s="119"/>
      <c r="V214" s="120"/>
      <c r="X214" s="120"/>
      <c r="Y214" s="120"/>
    </row>
    <row r="215" s="83" customFormat="1" ht="15" customHeight="1" spans="1:25">
      <c r="B215" s="121">
        <v>6</v>
      </c>
      <c r="C215" s="144" t="s">
        <v>275</v>
      </c>
      <c r="D215" s="110">
        <f>ROUND(J215*K215/10000,2)</f>
        <v>0</v>
      </c>
      <c r="E215" s="123"/>
      <c r="F215" s="123"/>
      <c r="G215" s="124"/>
      <c r="H215" s="113">
        <f>SUM(D215:G215)</f>
        <v>0</v>
      </c>
      <c r="I215" s="125" t="s">
        <v>276</v>
      </c>
      <c r="J215" s="114">
        <v>0</v>
      </c>
      <c r="K215" s="110">
        <v>4725</v>
      </c>
      <c r="L215" s="126"/>
      <c r="M215" s="116"/>
      <c r="N215" s="117">
        <f t="shared" si="71"/>
        <v>4635</v>
      </c>
      <c r="O215" s="118">
        <v>1832.071</v>
      </c>
      <c r="P215" s="119"/>
      <c r="Q215" s="119"/>
      <c r="R215" s="119"/>
      <c r="S215" s="119"/>
      <c r="T215" s="119"/>
      <c r="U215" s="119"/>
      <c r="V215" s="120"/>
      <c r="X215" s="120"/>
      <c r="Y215" s="120"/>
    </row>
    <row r="216" s="83" customFormat="1" ht="15" customHeight="1" spans="1:25">
      <c r="B216" s="121">
        <v>7</v>
      </c>
      <c r="C216" s="144" t="s">
        <v>277</v>
      </c>
      <c r="D216" s="110">
        <f>ROUND(J216*K216/10000,2)</f>
        <v>0</v>
      </c>
      <c r="E216" s="123"/>
      <c r="F216" s="123"/>
      <c r="G216" s="124"/>
      <c r="H216" s="113">
        <f>SUM(D216:G216)</f>
        <v>0</v>
      </c>
      <c r="I216" s="125" t="s">
        <v>34</v>
      </c>
      <c r="J216" s="114">
        <v>0</v>
      </c>
      <c r="K216" s="110">
        <v>2442</v>
      </c>
      <c r="L216" s="126"/>
      <c r="M216" s="116"/>
      <c r="N216" s="117">
        <f t="shared" si="71"/>
        <v>2395.48571428571</v>
      </c>
      <c r="O216" s="118">
        <v>0</v>
      </c>
      <c r="P216" s="119"/>
      <c r="Q216" s="119"/>
      <c r="R216" s="119"/>
      <c r="S216" s="119"/>
      <c r="T216" s="119"/>
      <c r="U216" s="119"/>
      <c r="V216" s="120"/>
      <c r="X216" s="120"/>
      <c r="Y216" s="120"/>
    </row>
    <row r="217" s="83" customFormat="1" ht="15" customHeight="1" spans="1:25">
      <c r="B217" s="135" t="s">
        <v>63</v>
      </c>
      <c r="C217" s="136" t="s">
        <v>64</v>
      </c>
      <c r="D217" s="137">
        <f t="shared" ref="D217:H217" si="72">SUM(D218:D222)</f>
        <v>73.22</v>
      </c>
      <c r="E217" s="137">
        <f t="shared" si="72"/>
        <v>0</v>
      </c>
      <c r="F217" s="137">
        <f t="shared" si="72"/>
        <v>0</v>
      </c>
      <c r="G217" s="137">
        <f t="shared" si="72"/>
        <v>0</v>
      </c>
      <c r="H217" s="137">
        <f t="shared" si="72"/>
        <v>73.22</v>
      </c>
      <c r="I217" s="138" t="s">
        <v>17</v>
      </c>
      <c r="J217" s="137">
        <f>J211</f>
        <v>1.3</v>
      </c>
      <c r="K217" s="139">
        <f>H217/J217*10000</f>
        <v>563230.769230769</v>
      </c>
      <c r="L217" s="140"/>
      <c r="M217" s="116"/>
      <c r="N217" s="117"/>
      <c r="O217" s="118"/>
      <c r="P217" s="119"/>
      <c r="Q217" s="119"/>
      <c r="R217" s="119"/>
      <c r="S217" s="119"/>
      <c r="T217" s="119"/>
      <c r="U217" s="119"/>
      <c r="V217" s="120"/>
      <c r="X217" s="120"/>
      <c r="Y217" s="120"/>
    </row>
    <row r="218" s="2" customFormat="1" ht="15" customHeight="1" spans="1:25">
      <c r="A218" s="83"/>
      <c r="B218" s="127">
        <v>1</v>
      </c>
      <c r="C218" s="134" t="s">
        <v>233</v>
      </c>
      <c r="D218" s="101">
        <f t="shared" ref="D218:D222" si="73">ROUND(J218*K218/10000,2)</f>
        <v>60.69</v>
      </c>
      <c r="E218" s="129"/>
      <c r="F218" s="129"/>
      <c r="G218" s="130"/>
      <c r="H218" s="102">
        <f t="shared" ref="H218:H222" si="74">SUM(D218:G218)</f>
        <v>60.69</v>
      </c>
      <c r="I218" s="131" t="s">
        <v>34</v>
      </c>
      <c r="J218" s="35">
        <v>700</v>
      </c>
      <c r="K218" s="101">
        <v>867</v>
      </c>
      <c r="L218" s="132"/>
      <c r="M218" s="105"/>
      <c r="N218" s="117"/>
      <c r="O218" s="118"/>
      <c r="P218" s="20"/>
      <c r="Q218" s="20"/>
      <c r="R218" s="20"/>
      <c r="S218" s="20"/>
      <c r="T218" s="20"/>
      <c r="U218" s="20"/>
      <c r="V218" s="6"/>
      <c r="X218" s="6"/>
      <c r="Y218" s="6"/>
    </row>
    <row r="219" s="83" customFormat="1" ht="15" customHeight="1" spans="1:25">
      <c r="B219" s="121">
        <f t="shared" ref="B219:B222" si="75">B218+1</f>
        <v>2</v>
      </c>
      <c r="C219" s="144" t="s">
        <v>234</v>
      </c>
      <c r="D219" s="110">
        <f t="shared" si="73"/>
        <v>2.57</v>
      </c>
      <c r="E219" s="123"/>
      <c r="F219" s="123"/>
      <c r="G219" s="124"/>
      <c r="H219" s="113">
        <f t="shared" si="74"/>
        <v>2.57</v>
      </c>
      <c r="I219" s="125" t="s">
        <v>119</v>
      </c>
      <c r="J219" s="114">
        <v>4</v>
      </c>
      <c r="K219" s="110">
        <v>6419</v>
      </c>
      <c r="L219" s="126"/>
      <c r="M219" s="116"/>
      <c r="N219" s="117"/>
      <c r="O219" s="118"/>
      <c r="P219" s="119"/>
      <c r="Q219" s="119"/>
      <c r="R219" s="119"/>
      <c r="S219" s="119"/>
      <c r="T219" s="119"/>
      <c r="U219" s="119"/>
      <c r="V219" s="120"/>
      <c r="X219" s="120"/>
      <c r="Y219" s="120"/>
    </row>
    <row r="220" s="83" customFormat="1" ht="15" customHeight="1" spans="1:25">
      <c r="B220" s="121">
        <f t="shared" si="75"/>
        <v>3</v>
      </c>
      <c r="C220" s="144" t="s">
        <v>235</v>
      </c>
      <c r="D220" s="110">
        <f t="shared" si="73"/>
        <v>8.55</v>
      </c>
      <c r="E220" s="123"/>
      <c r="F220" s="123"/>
      <c r="G220" s="124"/>
      <c r="H220" s="113">
        <f t="shared" si="74"/>
        <v>8.55</v>
      </c>
      <c r="I220" s="125" t="s">
        <v>119</v>
      </c>
      <c r="J220" s="114">
        <v>6</v>
      </c>
      <c r="K220" s="110">
        <v>14245</v>
      </c>
      <c r="L220" s="126"/>
      <c r="M220" s="116"/>
      <c r="N220" s="117"/>
      <c r="O220" s="118"/>
      <c r="P220" s="119"/>
      <c r="Q220" s="119"/>
      <c r="R220" s="119"/>
      <c r="S220" s="119"/>
      <c r="T220" s="119"/>
      <c r="U220" s="119"/>
      <c r="V220" s="120"/>
      <c r="X220" s="120"/>
      <c r="Y220" s="120"/>
    </row>
    <row r="221" s="83" customFormat="1" ht="15" customHeight="1" spans="1:25">
      <c r="B221" s="121">
        <f t="shared" si="75"/>
        <v>4</v>
      </c>
      <c r="C221" s="144" t="s">
        <v>236</v>
      </c>
      <c r="D221" s="110">
        <f t="shared" si="73"/>
        <v>0.65</v>
      </c>
      <c r="E221" s="123"/>
      <c r="F221" s="123"/>
      <c r="G221" s="124"/>
      <c r="H221" s="113">
        <f t="shared" si="74"/>
        <v>0.65</v>
      </c>
      <c r="I221" s="125" t="s">
        <v>119</v>
      </c>
      <c r="J221" s="114">
        <v>1</v>
      </c>
      <c r="K221" s="110">
        <v>6509</v>
      </c>
      <c r="L221" s="126"/>
      <c r="M221" s="116"/>
      <c r="N221" s="117">
        <f t="shared" ref="N221:N229" si="76">K221/1.05*1.03</f>
        <v>6385.01904761905</v>
      </c>
      <c r="O221" s="118">
        <v>0</v>
      </c>
      <c r="P221" s="119"/>
      <c r="Q221" s="119"/>
      <c r="R221" s="119"/>
      <c r="S221" s="119"/>
      <c r="T221" s="119"/>
      <c r="U221" s="119"/>
      <c r="V221" s="120"/>
      <c r="X221" s="120"/>
      <c r="Y221" s="120"/>
    </row>
    <row r="222" s="83" customFormat="1" ht="15" customHeight="1" spans="1:25">
      <c r="B222" s="121">
        <f t="shared" si="75"/>
        <v>5</v>
      </c>
      <c r="C222" s="144" t="s">
        <v>237</v>
      </c>
      <c r="D222" s="110">
        <f t="shared" si="73"/>
        <v>0.76</v>
      </c>
      <c r="E222" s="123"/>
      <c r="F222" s="123"/>
      <c r="G222" s="124"/>
      <c r="H222" s="113">
        <f t="shared" si="74"/>
        <v>0.76</v>
      </c>
      <c r="I222" s="125" t="s">
        <v>119</v>
      </c>
      <c r="J222" s="114">
        <v>1</v>
      </c>
      <c r="K222" s="110">
        <v>7616</v>
      </c>
      <c r="L222" s="126"/>
      <c r="M222" s="116"/>
      <c r="N222" s="117">
        <f t="shared" si="76"/>
        <v>7470.93333333333</v>
      </c>
      <c r="O222" s="118">
        <v>1046.23</v>
      </c>
      <c r="P222" s="119"/>
      <c r="Q222" s="119"/>
      <c r="R222" s="119"/>
      <c r="S222" s="119"/>
      <c r="T222" s="119"/>
      <c r="U222" s="119"/>
      <c r="V222" s="120"/>
      <c r="X222" s="120"/>
      <c r="Y222" s="120"/>
    </row>
    <row r="223" s="86" customFormat="1" ht="15" customHeight="1" spans="1:25">
      <c r="B223" s="96" t="s">
        <v>67</v>
      </c>
      <c r="C223" s="26" t="s">
        <v>85</v>
      </c>
      <c r="D223" s="27">
        <f t="shared" ref="D223:H223" si="77">SUM(D224:D229)</f>
        <v>450.04</v>
      </c>
      <c r="E223" s="27">
        <f t="shared" si="77"/>
        <v>0</v>
      </c>
      <c r="F223" s="27">
        <f t="shared" si="77"/>
        <v>0</v>
      </c>
      <c r="G223" s="27">
        <f t="shared" si="77"/>
        <v>0</v>
      </c>
      <c r="H223" s="27">
        <f t="shared" si="77"/>
        <v>450.04</v>
      </c>
      <c r="I223" s="28" t="s">
        <v>17</v>
      </c>
      <c r="J223" s="27">
        <f>J217</f>
        <v>1.3</v>
      </c>
      <c r="K223" s="29">
        <f>H223/J223*10000</f>
        <v>3461846.15384615</v>
      </c>
      <c r="L223" s="107"/>
      <c r="M223" s="97"/>
      <c r="N223" s="32"/>
      <c r="O223" s="32"/>
      <c r="P223" s="20"/>
      <c r="Q223" s="20"/>
      <c r="R223" s="20"/>
      <c r="S223" s="20"/>
      <c r="T223" s="20"/>
      <c r="U223" s="20"/>
      <c r="V223" s="6"/>
      <c r="W223" s="2"/>
      <c r="X223" s="146"/>
      <c r="Y223" s="146"/>
    </row>
    <row r="224" ht="15" customHeight="1" spans="1:25">
      <c r="B224" s="127">
        <v>1</v>
      </c>
      <c r="C224" s="134" t="s">
        <v>238</v>
      </c>
      <c r="D224" s="101">
        <f t="shared" ref="D224:D229" si="78">ROUND(J224*K224/10000,2)</f>
        <v>236.74</v>
      </c>
      <c r="E224" s="129"/>
      <c r="F224" s="129"/>
      <c r="G224" s="130"/>
      <c r="H224" s="102">
        <f t="shared" ref="H224:H229" si="79">SUM(D224:G224)</f>
        <v>236.74</v>
      </c>
      <c r="I224" s="131" t="s">
        <v>34</v>
      </c>
      <c r="J224" s="35">
        <v>1400</v>
      </c>
      <c r="K224" s="101">
        <v>1691</v>
      </c>
      <c r="L224" s="132"/>
      <c r="M224" s="105"/>
      <c r="N224" s="33">
        <f t="shared" si="76"/>
        <v>1658.79047619048</v>
      </c>
      <c r="O224" s="133">
        <v>2823.25</v>
      </c>
      <c r="P224" s="20"/>
      <c r="Q224" s="20"/>
      <c r="R224" s="20"/>
      <c r="S224" s="20"/>
      <c r="T224" s="20"/>
      <c r="U224" s="20"/>
      <c r="W224" s="2"/>
    </row>
    <row r="225" ht="15" customHeight="1" spans="2:25">
      <c r="B225" s="127">
        <f t="shared" ref="B225:B229" si="80">B224+1</f>
        <v>2</v>
      </c>
      <c r="C225" s="134" t="s">
        <v>239</v>
      </c>
      <c r="D225" s="101">
        <f t="shared" si="78"/>
        <v>61.91</v>
      </c>
      <c r="E225" s="129"/>
      <c r="F225" s="129"/>
      <c r="G225" s="130"/>
      <c r="H225" s="102">
        <f t="shared" si="79"/>
        <v>61.91</v>
      </c>
      <c r="I225" s="131" t="s">
        <v>34</v>
      </c>
      <c r="J225" s="35">
        <v>280</v>
      </c>
      <c r="K225" s="101">
        <v>2211</v>
      </c>
      <c r="L225" s="132"/>
      <c r="M225" s="105"/>
      <c r="N225" s="33">
        <f t="shared" si="76"/>
        <v>2168.88571428571</v>
      </c>
      <c r="O225" s="133">
        <v>2823.25</v>
      </c>
      <c r="P225" s="20"/>
      <c r="Q225" s="20"/>
      <c r="R225" s="20"/>
      <c r="S225" s="20"/>
      <c r="T225" s="20"/>
      <c r="U225" s="20"/>
      <c r="W225" s="2"/>
    </row>
    <row r="226" ht="15" customHeight="1" spans="2:25">
      <c r="B226" s="127">
        <f t="shared" si="80"/>
        <v>3</v>
      </c>
      <c r="C226" s="134" t="s">
        <v>240</v>
      </c>
      <c r="D226" s="101">
        <f t="shared" si="78"/>
        <v>113.79</v>
      </c>
      <c r="E226" s="129"/>
      <c r="F226" s="129"/>
      <c r="G226" s="130"/>
      <c r="H226" s="102">
        <f t="shared" si="79"/>
        <v>113.79</v>
      </c>
      <c r="I226" s="131" t="s">
        <v>119</v>
      </c>
      <c r="J226" s="35">
        <v>47</v>
      </c>
      <c r="K226" s="101">
        <v>24211</v>
      </c>
      <c r="L226" s="132"/>
      <c r="M226" s="105"/>
      <c r="N226" s="33">
        <f t="shared" si="76"/>
        <v>23749.8380952381</v>
      </c>
      <c r="O226" s="133">
        <v>2823.25</v>
      </c>
      <c r="P226" s="20"/>
      <c r="Q226" s="20"/>
      <c r="R226" s="20"/>
      <c r="S226" s="20"/>
      <c r="T226" s="20"/>
      <c r="U226" s="20"/>
      <c r="W226" s="2"/>
    </row>
    <row r="227" ht="15" customHeight="1" spans="2:25">
      <c r="B227" s="127">
        <f t="shared" si="80"/>
        <v>4</v>
      </c>
      <c r="C227" s="134" t="s">
        <v>241</v>
      </c>
      <c r="D227" s="101">
        <f t="shared" si="78"/>
        <v>24.21</v>
      </c>
      <c r="E227" s="129"/>
      <c r="F227" s="129"/>
      <c r="G227" s="130"/>
      <c r="H227" s="102">
        <f t="shared" si="79"/>
        <v>24.21</v>
      </c>
      <c r="I227" s="131" t="s">
        <v>119</v>
      </c>
      <c r="J227" s="35">
        <v>10</v>
      </c>
      <c r="K227" s="101">
        <v>24211</v>
      </c>
      <c r="L227" s="132"/>
      <c r="M227" s="105"/>
      <c r="N227" s="33">
        <f t="shared" si="76"/>
        <v>23749.8380952381</v>
      </c>
      <c r="O227" s="133">
        <v>2823.25</v>
      </c>
      <c r="P227" s="20"/>
      <c r="Q227" s="20"/>
      <c r="R227" s="20"/>
      <c r="S227" s="20"/>
      <c r="T227" s="20"/>
      <c r="U227" s="20"/>
      <c r="W227" s="2"/>
    </row>
    <row r="228" ht="15" customHeight="1" spans="2:25">
      <c r="B228" s="127">
        <f t="shared" si="80"/>
        <v>5</v>
      </c>
      <c r="C228" s="134" t="s">
        <v>242</v>
      </c>
      <c r="D228" s="101">
        <f t="shared" si="78"/>
        <v>10.08</v>
      </c>
      <c r="E228" s="129"/>
      <c r="F228" s="129"/>
      <c r="G228" s="130"/>
      <c r="H228" s="102">
        <f t="shared" si="79"/>
        <v>10.08</v>
      </c>
      <c r="I228" s="131" t="s">
        <v>34</v>
      </c>
      <c r="J228" s="35">
        <v>3360</v>
      </c>
      <c r="K228" s="101">
        <v>30</v>
      </c>
      <c r="L228" s="132"/>
      <c r="M228" s="105"/>
      <c r="N228" s="33">
        <f t="shared" si="76"/>
        <v>29.4285714285714</v>
      </c>
      <c r="O228" s="133">
        <v>2823.25</v>
      </c>
      <c r="P228" s="20"/>
      <c r="Q228" s="20"/>
      <c r="R228" s="20"/>
      <c r="S228" s="20"/>
      <c r="T228" s="20"/>
      <c r="U228" s="20"/>
      <c r="W228" s="2"/>
    </row>
    <row r="229" ht="15" customHeight="1" spans="2:25">
      <c r="B229" s="127">
        <f t="shared" si="80"/>
        <v>6</v>
      </c>
      <c r="C229" s="134" t="s">
        <v>243</v>
      </c>
      <c r="D229" s="101">
        <f t="shared" si="78"/>
        <v>3.31</v>
      </c>
      <c r="E229" s="129"/>
      <c r="F229" s="129"/>
      <c r="G229" s="130"/>
      <c r="H229" s="102">
        <f t="shared" si="79"/>
        <v>3.31</v>
      </c>
      <c r="I229" s="131" t="s">
        <v>49</v>
      </c>
      <c r="J229" s="35">
        <v>228</v>
      </c>
      <c r="K229" s="101">
        <v>145</v>
      </c>
      <c r="L229" s="132"/>
      <c r="M229" s="105"/>
      <c r="N229" s="33">
        <f t="shared" si="76"/>
        <v>142.238095238095</v>
      </c>
      <c r="O229" s="133">
        <v>2823.25</v>
      </c>
      <c r="P229" s="20"/>
      <c r="Q229" s="20"/>
      <c r="R229" s="20"/>
      <c r="S229" s="20"/>
      <c r="T229" s="20"/>
      <c r="U229" s="20"/>
      <c r="W229" s="2"/>
    </row>
    <row r="230" s="86" customFormat="1" ht="15" customHeight="1" spans="2:25">
      <c r="B230" s="96" t="s">
        <v>72</v>
      </c>
      <c r="C230" s="26" t="s">
        <v>90</v>
      </c>
      <c r="D230" s="27">
        <f t="shared" ref="D230:H230" si="81">SUM(D231:D234)</f>
        <v>251.34</v>
      </c>
      <c r="E230" s="27">
        <f t="shared" si="81"/>
        <v>0</v>
      </c>
      <c r="F230" s="27">
        <f t="shared" si="81"/>
        <v>0</v>
      </c>
      <c r="G230" s="27">
        <f t="shared" si="81"/>
        <v>0</v>
      </c>
      <c r="H230" s="27">
        <f t="shared" si="81"/>
        <v>251.34</v>
      </c>
      <c r="I230" s="28" t="s">
        <v>17</v>
      </c>
      <c r="J230" s="27">
        <f>J223</f>
        <v>1.3</v>
      </c>
      <c r="K230" s="29">
        <f>H230/J230*10000</f>
        <v>1933384.61538462</v>
      </c>
      <c r="L230" s="107"/>
      <c r="M230" s="97"/>
      <c r="N230" s="32"/>
      <c r="O230" s="32"/>
      <c r="P230" s="20"/>
      <c r="Q230" s="20"/>
      <c r="R230" s="20"/>
      <c r="S230" s="20"/>
      <c r="T230" s="20"/>
      <c r="U230" s="20"/>
      <c r="V230" s="6"/>
      <c r="W230" s="2"/>
      <c r="X230" s="146"/>
      <c r="Y230" s="146"/>
    </row>
    <row r="231" ht="15" customHeight="1" spans="2:25">
      <c r="B231" s="127">
        <v>1</v>
      </c>
      <c r="C231" s="134" t="s">
        <v>244</v>
      </c>
      <c r="D231" s="101">
        <f t="shared" ref="D231:D234" si="82">ROUND(J231*K231/10000,2)</f>
        <v>141.12</v>
      </c>
      <c r="E231" s="129"/>
      <c r="F231" s="129"/>
      <c r="G231" s="130"/>
      <c r="H231" s="102">
        <f t="shared" ref="H231:H234" si="83">SUM(D231:G231)</f>
        <v>141.12</v>
      </c>
      <c r="I231" s="131" t="s">
        <v>34</v>
      </c>
      <c r="J231" s="35">
        <v>1400</v>
      </c>
      <c r="K231" s="101">
        <v>1008</v>
      </c>
      <c r="L231" s="132"/>
      <c r="M231" s="105"/>
      <c r="N231" s="33">
        <f t="shared" ref="N231:N234" si="84">K231/1.05*1.03</f>
        <v>988.8</v>
      </c>
      <c r="O231" s="133">
        <v>2823.25</v>
      </c>
      <c r="P231" s="20"/>
      <c r="Q231" s="20"/>
      <c r="R231" s="20"/>
      <c r="S231" s="20"/>
      <c r="T231" s="20"/>
      <c r="U231" s="20"/>
      <c r="W231" s="2"/>
    </row>
    <row r="232" ht="15" customHeight="1" spans="2:25">
      <c r="B232" s="127">
        <f t="shared" ref="B232:B234" si="85">B231+1</f>
        <v>2</v>
      </c>
      <c r="C232" s="134" t="s">
        <v>245</v>
      </c>
      <c r="D232" s="101">
        <f t="shared" si="82"/>
        <v>42.87</v>
      </c>
      <c r="E232" s="129"/>
      <c r="F232" s="129"/>
      <c r="G232" s="130"/>
      <c r="H232" s="102">
        <f t="shared" si="83"/>
        <v>42.87</v>
      </c>
      <c r="I232" s="131" t="s">
        <v>34</v>
      </c>
      <c r="J232" s="35">
        <v>280</v>
      </c>
      <c r="K232" s="101">
        <v>1531</v>
      </c>
      <c r="L232" s="132"/>
      <c r="M232" s="105"/>
      <c r="N232" s="33">
        <f t="shared" si="84"/>
        <v>1501.8380952381</v>
      </c>
      <c r="O232" s="133">
        <v>2823.25</v>
      </c>
      <c r="P232" s="20"/>
      <c r="Q232" s="20"/>
      <c r="R232" s="20"/>
      <c r="S232" s="20"/>
      <c r="T232" s="20"/>
      <c r="U232" s="20"/>
      <c r="W232" s="2"/>
    </row>
    <row r="233" ht="15" customHeight="1" spans="2:25">
      <c r="B233" s="127">
        <f t="shared" si="85"/>
        <v>3</v>
      </c>
      <c r="C233" s="134" t="s">
        <v>246</v>
      </c>
      <c r="D233" s="101">
        <f t="shared" si="82"/>
        <v>42.56</v>
      </c>
      <c r="E233" s="129"/>
      <c r="F233" s="129"/>
      <c r="G233" s="130"/>
      <c r="H233" s="102">
        <f t="shared" si="83"/>
        <v>42.56</v>
      </c>
      <c r="I233" s="131" t="s">
        <v>119</v>
      </c>
      <c r="J233" s="35">
        <v>24</v>
      </c>
      <c r="K233" s="101">
        <v>17733</v>
      </c>
      <c r="L233" s="132"/>
      <c r="M233" s="105"/>
      <c r="N233" s="33">
        <f t="shared" si="84"/>
        <v>17395.2285714286</v>
      </c>
      <c r="O233" s="133">
        <v>2823.25</v>
      </c>
      <c r="P233" s="20"/>
      <c r="Q233" s="20"/>
      <c r="R233" s="20"/>
      <c r="S233" s="20"/>
      <c r="T233" s="20"/>
      <c r="U233" s="20"/>
      <c r="W233" s="2"/>
    </row>
    <row r="234" ht="15" customHeight="1" spans="2:25">
      <c r="B234" s="127">
        <f t="shared" si="85"/>
        <v>4</v>
      </c>
      <c r="C234" s="134" t="s">
        <v>247</v>
      </c>
      <c r="D234" s="101">
        <f t="shared" si="82"/>
        <v>24.79</v>
      </c>
      <c r="E234" s="129"/>
      <c r="F234" s="129"/>
      <c r="G234" s="130"/>
      <c r="H234" s="102">
        <f t="shared" si="83"/>
        <v>24.79</v>
      </c>
      <c r="I234" s="131" t="s">
        <v>119</v>
      </c>
      <c r="J234" s="35">
        <v>10</v>
      </c>
      <c r="K234" s="101">
        <v>24793</v>
      </c>
      <c r="L234" s="132"/>
      <c r="M234" s="105"/>
      <c r="N234" s="33">
        <f t="shared" si="84"/>
        <v>24320.7523809524</v>
      </c>
      <c r="O234" s="133">
        <v>2823.25</v>
      </c>
      <c r="P234" s="20"/>
      <c r="Q234" s="20"/>
      <c r="R234" s="20"/>
      <c r="S234" s="20"/>
      <c r="T234" s="20"/>
      <c r="U234" s="20"/>
      <c r="W234" s="2"/>
    </row>
    <row r="235" s="86" customFormat="1" ht="15" customHeight="1" spans="2:25">
      <c r="B235" s="96" t="s">
        <v>79</v>
      </c>
      <c r="C235" s="26" t="s">
        <v>248</v>
      </c>
      <c r="D235" s="27">
        <f t="shared" ref="D235:H235" si="86">SUM(D236:D245)</f>
        <v>249.76</v>
      </c>
      <c r="E235" s="27">
        <f t="shared" si="86"/>
        <v>0</v>
      </c>
      <c r="F235" s="27">
        <f t="shared" si="86"/>
        <v>0</v>
      </c>
      <c r="G235" s="27">
        <f t="shared" si="86"/>
        <v>0</v>
      </c>
      <c r="H235" s="27">
        <f t="shared" si="86"/>
        <v>249.76</v>
      </c>
      <c r="I235" s="28" t="s">
        <v>17</v>
      </c>
      <c r="J235" s="27">
        <f>J230</f>
        <v>1.3</v>
      </c>
      <c r="K235" s="29">
        <f>H235/J235*10000</f>
        <v>1921230.76923077</v>
      </c>
      <c r="L235" s="107"/>
      <c r="M235" s="97"/>
      <c r="N235" s="32"/>
      <c r="O235" s="32"/>
      <c r="P235" s="20"/>
      <c r="Q235" s="20"/>
      <c r="R235" s="20"/>
      <c r="S235" s="20"/>
      <c r="T235" s="20"/>
      <c r="U235" s="20"/>
      <c r="V235" s="6"/>
      <c r="W235" s="2"/>
      <c r="X235" s="146"/>
      <c r="Y235" s="146"/>
    </row>
    <row r="236" ht="15" customHeight="1" spans="2:25">
      <c r="B236" s="127">
        <v>1</v>
      </c>
      <c r="C236" s="134" t="s">
        <v>291</v>
      </c>
      <c r="D236" s="101">
        <f t="shared" ref="D236:D245" si="87">ROUND(J236*K236/10000,2)</f>
        <v>76.2</v>
      </c>
      <c r="E236" s="129"/>
      <c r="F236" s="129"/>
      <c r="G236" s="130"/>
      <c r="H236" s="102">
        <f t="shared" ref="H236:H245" si="88">SUM(D236:G236)</f>
        <v>76.2</v>
      </c>
      <c r="I236" s="131" t="s">
        <v>52</v>
      </c>
      <c r="J236" s="35">
        <v>102</v>
      </c>
      <c r="K236" s="101">
        <v>7471</v>
      </c>
      <c r="L236" s="132"/>
      <c r="M236" s="105"/>
      <c r="N236" s="33">
        <f t="shared" ref="N236:N245" si="89">K236/1.05*1.03</f>
        <v>7328.69523809524</v>
      </c>
      <c r="O236" s="133">
        <v>2823.25</v>
      </c>
      <c r="P236" s="20"/>
      <c r="Q236" s="20"/>
      <c r="R236" s="20"/>
      <c r="S236" s="20"/>
      <c r="T236" s="20"/>
      <c r="U236" s="20"/>
      <c r="W236" s="2"/>
    </row>
    <row r="237" ht="15" customHeight="1" spans="2:25">
      <c r="B237" s="127">
        <f t="shared" ref="B237:B245" si="90">B236+1</f>
        <v>2</v>
      </c>
      <c r="C237" s="134" t="s">
        <v>250</v>
      </c>
      <c r="D237" s="101">
        <f t="shared" si="87"/>
        <v>16.49</v>
      </c>
      <c r="E237" s="129"/>
      <c r="F237" s="129"/>
      <c r="G237" s="130"/>
      <c r="H237" s="102">
        <f t="shared" si="88"/>
        <v>16.49</v>
      </c>
      <c r="I237" s="131" t="s">
        <v>52</v>
      </c>
      <c r="J237" s="35">
        <v>7</v>
      </c>
      <c r="K237" s="101">
        <v>23564</v>
      </c>
      <c r="L237" s="132"/>
      <c r="M237" s="105"/>
      <c r="N237" s="33">
        <f t="shared" si="89"/>
        <v>23115.1619047619</v>
      </c>
      <c r="O237" s="133">
        <v>2823.25</v>
      </c>
      <c r="P237" s="20"/>
      <c r="Q237" s="20"/>
      <c r="R237" s="20"/>
      <c r="S237" s="20"/>
      <c r="T237" s="20"/>
      <c r="U237" s="20"/>
      <c r="W237" s="2"/>
    </row>
    <row r="238" ht="15" customHeight="1" spans="2:25">
      <c r="B238" s="127">
        <f t="shared" si="90"/>
        <v>3</v>
      </c>
      <c r="C238" s="134" t="s">
        <v>251</v>
      </c>
      <c r="D238" s="101">
        <f t="shared" si="87"/>
        <v>17.71</v>
      </c>
      <c r="E238" s="129"/>
      <c r="F238" s="129"/>
      <c r="G238" s="130"/>
      <c r="H238" s="102">
        <f t="shared" si="88"/>
        <v>17.71</v>
      </c>
      <c r="I238" s="131" t="s">
        <v>252</v>
      </c>
      <c r="J238" s="35">
        <v>1</v>
      </c>
      <c r="K238" s="101">
        <v>177091</v>
      </c>
      <c r="L238" s="132"/>
      <c r="M238" s="105"/>
      <c r="N238" s="33">
        <f t="shared" si="89"/>
        <v>173717.838095238</v>
      </c>
      <c r="O238" s="133">
        <v>2823.25</v>
      </c>
      <c r="P238" s="20"/>
      <c r="Q238" s="20"/>
      <c r="R238" s="20"/>
      <c r="S238" s="20"/>
      <c r="T238" s="20"/>
      <c r="U238" s="20"/>
      <c r="W238" s="2"/>
    </row>
    <row r="239" ht="15" customHeight="1" spans="2:25">
      <c r="B239" s="127">
        <f t="shared" si="90"/>
        <v>4</v>
      </c>
      <c r="C239" s="134" t="s">
        <v>253</v>
      </c>
      <c r="D239" s="101">
        <f t="shared" si="87"/>
        <v>4.88</v>
      </c>
      <c r="E239" s="129"/>
      <c r="F239" s="129"/>
      <c r="G239" s="130"/>
      <c r="H239" s="102">
        <f t="shared" si="88"/>
        <v>4.88</v>
      </c>
      <c r="I239" s="131" t="s">
        <v>252</v>
      </c>
      <c r="J239" s="35">
        <v>1</v>
      </c>
      <c r="K239" s="101">
        <v>48762</v>
      </c>
      <c r="L239" s="132"/>
      <c r="M239" s="105"/>
      <c r="N239" s="33">
        <f t="shared" si="89"/>
        <v>47833.2</v>
      </c>
      <c r="O239" s="133">
        <v>2823.25</v>
      </c>
      <c r="P239" s="20"/>
      <c r="Q239" s="20"/>
      <c r="R239" s="20"/>
      <c r="S239" s="20"/>
      <c r="T239" s="20"/>
      <c r="U239" s="20"/>
      <c r="W239" s="2"/>
    </row>
    <row r="240" ht="15" customHeight="1" spans="2:25">
      <c r="B240" s="127">
        <f t="shared" si="90"/>
        <v>5</v>
      </c>
      <c r="C240" s="134" t="s">
        <v>254</v>
      </c>
      <c r="D240" s="101">
        <f t="shared" si="87"/>
        <v>6.53</v>
      </c>
      <c r="E240" s="129"/>
      <c r="F240" s="129"/>
      <c r="G240" s="130"/>
      <c r="H240" s="102">
        <f t="shared" si="88"/>
        <v>6.53</v>
      </c>
      <c r="I240" s="131" t="s">
        <v>119</v>
      </c>
      <c r="J240" s="35">
        <v>30</v>
      </c>
      <c r="K240" s="101">
        <v>2176</v>
      </c>
      <c r="L240" s="132"/>
      <c r="M240" s="105"/>
      <c r="N240" s="33">
        <f t="shared" si="89"/>
        <v>2134.55238095238</v>
      </c>
      <c r="O240" s="133">
        <v>2823.25</v>
      </c>
      <c r="P240" s="20"/>
      <c r="Q240" s="20"/>
      <c r="R240" s="20"/>
      <c r="S240" s="20"/>
      <c r="T240" s="20"/>
      <c r="U240" s="20"/>
      <c r="W240" s="2"/>
    </row>
    <row r="241" ht="15" customHeight="1" spans="2:23">
      <c r="B241" s="127">
        <f t="shared" si="90"/>
        <v>6</v>
      </c>
      <c r="C241" s="134" t="s">
        <v>255</v>
      </c>
      <c r="D241" s="101">
        <f t="shared" si="87"/>
        <v>70.99</v>
      </c>
      <c r="E241" s="129"/>
      <c r="F241" s="129"/>
      <c r="G241" s="130"/>
      <c r="H241" s="102">
        <f t="shared" si="88"/>
        <v>70.99</v>
      </c>
      <c r="I241" s="131" t="s">
        <v>34</v>
      </c>
      <c r="J241" s="35">
        <v>4080</v>
      </c>
      <c r="K241" s="101">
        <v>174</v>
      </c>
      <c r="L241" s="132"/>
      <c r="M241" s="105"/>
      <c r="N241" s="33">
        <f t="shared" si="89"/>
        <v>170.685714285714</v>
      </c>
      <c r="O241" s="133">
        <v>2823.25</v>
      </c>
      <c r="P241" s="20"/>
      <c r="Q241" s="20"/>
      <c r="R241" s="20"/>
      <c r="S241" s="20"/>
      <c r="T241" s="20"/>
      <c r="U241" s="20"/>
      <c r="W241" s="2"/>
    </row>
    <row r="242" ht="15" customHeight="1" spans="2:23">
      <c r="B242" s="127">
        <f t="shared" si="90"/>
        <v>7</v>
      </c>
      <c r="C242" s="134" t="s">
        <v>256</v>
      </c>
      <c r="D242" s="101">
        <f t="shared" si="87"/>
        <v>43.04</v>
      </c>
      <c r="E242" s="129"/>
      <c r="F242" s="129"/>
      <c r="G242" s="130"/>
      <c r="H242" s="102">
        <f t="shared" si="88"/>
        <v>43.04</v>
      </c>
      <c r="I242" s="131" t="s">
        <v>34</v>
      </c>
      <c r="J242" s="35">
        <v>3710</v>
      </c>
      <c r="K242" s="101">
        <v>116</v>
      </c>
      <c r="L242" s="132"/>
      <c r="M242" s="105"/>
      <c r="N242" s="33">
        <f t="shared" si="89"/>
        <v>113.790476190476</v>
      </c>
      <c r="O242" s="133">
        <v>2823.25</v>
      </c>
      <c r="P242" s="20"/>
      <c r="Q242" s="20"/>
      <c r="R242" s="20"/>
      <c r="S242" s="20"/>
      <c r="T242" s="20"/>
      <c r="U242" s="20"/>
      <c r="W242" s="2"/>
    </row>
    <row r="243" ht="15" customHeight="1" spans="2:23">
      <c r="B243" s="127">
        <f t="shared" si="90"/>
        <v>8</v>
      </c>
      <c r="C243" s="134" t="s">
        <v>257</v>
      </c>
      <c r="D243" s="101">
        <f t="shared" si="87"/>
        <v>11.54</v>
      </c>
      <c r="E243" s="129"/>
      <c r="F243" s="129"/>
      <c r="G243" s="130"/>
      <c r="H243" s="102">
        <f t="shared" si="88"/>
        <v>11.54</v>
      </c>
      <c r="I243" s="131" t="s">
        <v>49</v>
      </c>
      <c r="J243" s="35">
        <v>740</v>
      </c>
      <c r="K243" s="101">
        <v>156</v>
      </c>
      <c r="L243" s="132"/>
      <c r="M243" s="105"/>
      <c r="N243" s="33">
        <f t="shared" si="89"/>
        <v>153.028571428571</v>
      </c>
      <c r="O243" s="133">
        <v>2823.25</v>
      </c>
      <c r="P243" s="20"/>
      <c r="Q243" s="20"/>
      <c r="R243" s="20"/>
      <c r="S243" s="20"/>
      <c r="T243" s="20"/>
      <c r="U243" s="20"/>
      <c r="W243" s="2"/>
    </row>
    <row r="244" ht="15" customHeight="1" spans="2:23">
      <c r="B244" s="127">
        <f t="shared" si="90"/>
        <v>9</v>
      </c>
      <c r="C244" s="134" t="s">
        <v>258</v>
      </c>
      <c r="D244" s="101">
        <f t="shared" si="87"/>
        <v>0.45</v>
      </c>
      <c r="E244" s="129"/>
      <c r="F244" s="129"/>
      <c r="G244" s="130"/>
      <c r="H244" s="102">
        <f t="shared" si="88"/>
        <v>0.45</v>
      </c>
      <c r="I244" s="131" t="s">
        <v>34</v>
      </c>
      <c r="J244" s="35">
        <v>150</v>
      </c>
      <c r="K244" s="101">
        <v>30</v>
      </c>
      <c r="L244" s="132"/>
      <c r="M244" s="105"/>
      <c r="N244" s="33">
        <f t="shared" si="89"/>
        <v>29.4285714285714</v>
      </c>
      <c r="O244" s="133">
        <v>2823.25</v>
      </c>
      <c r="P244" s="20"/>
      <c r="Q244" s="20"/>
      <c r="R244" s="20"/>
      <c r="S244" s="20"/>
      <c r="T244" s="20"/>
      <c r="U244" s="20"/>
      <c r="W244" s="2"/>
    </row>
    <row r="245" ht="15" customHeight="1" spans="2:23">
      <c r="B245" s="127">
        <f t="shared" si="90"/>
        <v>10</v>
      </c>
      <c r="C245" s="134" t="s">
        <v>243</v>
      </c>
      <c r="D245" s="101">
        <f t="shared" si="87"/>
        <v>1.93</v>
      </c>
      <c r="E245" s="129"/>
      <c r="F245" s="129"/>
      <c r="G245" s="130"/>
      <c r="H245" s="102">
        <f t="shared" si="88"/>
        <v>1.93</v>
      </c>
      <c r="I245" s="131" t="s">
        <v>49</v>
      </c>
      <c r="J245" s="35">
        <v>133</v>
      </c>
      <c r="K245" s="101">
        <v>145</v>
      </c>
      <c r="L245" s="132"/>
      <c r="M245" s="105"/>
      <c r="N245" s="33">
        <f t="shared" si="89"/>
        <v>142.238095238095</v>
      </c>
      <c r="O245" s="133">
        <v>2823.25</v>
      </c>
      <c r="P245" s="20"/>
      <c r="Q245" s="20"/>
      <c r="R245" s="20"/>
      <c r="S245" s="20"/>
      <c r="T245" s="20"/>
      <c r="U245" s="20"/>
      <c r="W245" s="2"/>
    </row>
    <row r="246" ht="15" customHeight="1" spans="2:23">
      <c r="B246" s="96" t="s">
        <v>84</v>
      </c>
      <c r="C246" s="26" t="s">
        <v>259</v>
      </c>
      <c r="D246" s="27">
        <f>SUM(D247:D255)</f>
        <v>106.85</v>
      </c>
      <c r="E246" s="27">
        <f>SUM(E247:E255)</f>
        <v>0</v>
      </c>
      <c r="F246" s="27">
        <f>SUM(F247:F255)</f>
        <v>0</v>
      </c>
      <c r="G246" s="27">
        <f>SUM(G247:G255)</f>
        <v>0</v>
      </c>
      <c r="H246" s="27">
        <f>SUM(H247:H255)</f>
        <v>106.85</v>
      </c>
      <c r="I246" s="28" t="s">
        <v>17</v>
      </c>
      <c r="J246" s="27">
        <f>J173</f>
        <v>1.3</v>
      </c>
      <c r="K246" s="29">
        <f>H246*10000/J246</f>
        <v>821923.076923077</v>
      </c>
      <c r="L246" s="147"/>
      <c r="M246" s="148"/>
      <c r="N246" s="149"/>
      <c r="O246" s="149"/>
      <c r="P246" s="20"/>
      <c r="Q246" s="20"/>
      <c r="R246" s="20"/>
      <c r="S246" s="20"/>
      <c r="T246" s="20"/>
      <c r="U246" s="20"/>
      <c r="V246" s="34"/>
      <c r="W246" s="2"/>
    </row>
    <row r="247" ht="15" customHeight="1" spans="2:23">
      <c r="B247" s="150">
        <v>1</v>
      </c>
      <c r="C247" s="100" t="s">
        <v>260</v>
      </c>
      <c r="D247" s="101">
        <f t="shared" ref="D247:D255" si="91">ROUND(J247*K247/10000,2)</f>
        <v>65</v>
      </c>
      <c r="E247" s="101"/>
      <c r="F247" s="21"/>
      <c r="G247" s="103"/>
      <c r="H247" s="102">
        <f t="shared" ref="H247:H255" si="92">SUM(D247:G247)</f>
        <v>65</v>
      </c>
      <c r="I247" s="103" t="s">
        <v>34</v>
      </c>
      <c r="J247" s="35">
        <f>1300</f>
        <v>1300</v>
      </c>
      <c r="K247" s="101">
        <f>500000/1000</f>
        <v>500</v>
      </c>
      <c r="L247" s="23"/>
      <c r="M247" s="151"/>
      <c r="N247" s="33">
        <f t="shared" ref="N247:N255" si="93">K247/1.05*1.03</f>
        <v>490.47619047619</v>
      </c>
      <c r="O247" s="152">
        <v>55.6</v>
      </c>
      <c r="P247" s="20"/>
      <c r="Q247" s="20"/>
      <c r="R247" s="20"/>
      <c r="S247" s="20"/>
      <c r="T247" s="20"/>
      <c r="U247" s="20"/>
      <c r="W247" s="2"/>
    </row>
    <row r="248" ht="15" customHeight="1" spans="2:23">
      <c r="B248" s="150">
        <v>2</v>
      </c>
      <c r="C248" s="100" t="s">
        <v>261</v>
      </c>
      <c r="D248" s="101">
        <f t="shared" si="91"/>
        <v>0</v>
      </c>
      <c r="E248" s="101"/>
      <c r="F248" s="21"/>
      <c r="G248" s="103"/>
      <c r="H248" s="102">
        <f t="shared" si="92"/>
        <v>0</v>
      </c>
      <c r="I248" s="103" t="s">
        <v>49</v>
      </c>
      <c r="J248" s="35">
        <f t="shared" ref="J248:J253" si="94">SUM(P248:T248)</f>
        <v>0</v>
      </c>
      <c r="K248" s="101">
        <v>66111.6094285714</v>
      </c>
      <c r="L248" s="23"/>
      <c r="M248" s="151"/>
      <c r="N248" s="33">
        <f t="shared" si="93"/>
        <v>64852.340677551</v>
      </c>
      <c r="O248" s="152">
        <v>67395.33</v>
      </c>
      <c r="P248" s="20"/>
      <c r="Q248" s="20"/>
      <c r="R248" s="20"/>
      <c r="S248" s="20"/>
      <c r="T248" s="20"/>
      <c r="U248" s="20"/>
      <c r="W248" s="2"/>
    </row>
    <row r="249" ht="15" customHeight="1" spans="2:23">
      <c r="B249" s="150">
        <v>3</v>
      </c>
      <c r="C249" s="100" t="s">
        <v>262</v>
      </c>
      <c r="D249" s="101">
        <f t="shared" si="91"/>
        <v>0</v>
      </c>
      <c r="E249" s="101"/>
      <c r="F249" s="21"/>
      <c r="G249" s="103"/>
      <c r="H249" s="102">
        <f t="shared" si="92"/>
        <v>0</v>
      </c>
      <c r="I249" s="103" t="s">
        <v>49</v>
      </c>
      <c r="J249" s="35">
        <f t="shared" si="94"/>
        <v>0</v>
      </c>
      <c r="K249" s="101">
        <v>18836.2476190476</v>
      </c>
      <c r="L249" s="23"/>
      <c r="M249" s="151"/>
      <c r="N249" s="33">
        <f t="shared" si="93"/>
        <v>18477.4619501134</v>
      </c>
      <c r="O249" s="152">
        <v>19202</v>
      </c>
      <c r="P249" s="20"/>
      <c r="Q249" s="20"/>
      <c r="R249" s="20"/>
      <c r="S249" s="20"/>
      <c r="T249" s="20"/>
      <c r="U249" s="20"/>
      <c r="W249" s="2"/>
    </row>
    <row r="250" ht="15" customHeight="1" spans="2:23">
      <c r="B250" s="150">
        <v>4</v>
      </c>
      <c r="C250" s="100" t="s">
        <v>263</v>
      </c>
      <c r="D250" s="101">
        <f t="shared" si="91"/>
        <v>0</v>
      </c>
      <c r="E250" s="101"/>
      <c r="F250" s="21"/>
      <c r="G250" s="103"/>
      <c r="H250" s="102">
        <f t="shared" si="92"/>
        <v>0</v>
      </c>
      <c r="I250" s="103" t="s">
        <v>49</v>
      </c>
      <c r="J250" s="35">
        <f t="shared" si="94"/>
        <v>0</v>
      </c>
      <c r="K250" s="101">
        <v>16667.3619047619</v>
      </c>
      <c r="L250" s="23"/>
      <c r="M250" s="151"/>
      <c r="N250" s="33">
        <f t="shared" si="93"/>
        <v>16349.8883446712</v>
      </c>
      <c r="O250" s="152">
        <v>16991</v>
      </c>
      <c r="P250" s="20"/>
      <c r="Q250" s="20"/>
      <c r="R250" s="20"/>
      <c r="S250" s="20"/>
      <c r="T250" s="20"/>
      <c r="U250" s="20"/>
      <c r="W250" s="2"/>
    </row>
    <row r="251" ht="15" customHeight="1" spans="2:23">
      <c r="B251" s="150">
        <v>5</v>
      </c>
      <c r="C251" s="100" t="s">
        <v>264</v>
      </c>
      <c r="D251" s="101">
        <f t="shared" si="91"/>
        <v>0</v>
      </c>
      <c r="E251" s="101"/>
      <c r="F251" s="21"/>
      <c r="G251" s="103"/>
      <c r="H251" s="102">
        <f t="shared" si="92"/>
        <v>0</v>
      </c>
      <c r="I251" s="103" t="s">
        <v>49</v>
      </c>
      <c r="J251" s="35">
        <f t="shared" si="94"/>
        <v>0</v>
      </c>
      <c r="K251" s="101">
        <v>5232.4</v>
      </c>
      <c r="L251" s="23"/>
      <c r="M251" s="151"/>
      <c r="N251" s="33">
        <f t="shared" si="93"/>
        <v>5132.73523809524</v>
      </c>
      <c r="O251" s="152">
        <v>5334</v>
      </c>
      <c r="P251" s="20"/>
      <c r="Q251" s="20"/>
      <c r="R251" s="20"/>
      <c r="S251" s="20"/>
      <c r="T251" s="20"/>
      <c r="U251" s="20"/>
      <c r="W251" s="2"/>
    </row>
    <row r="252" ht="15" customHeight="1" spans="2:23">
      <c r="B252" s="150">
        <v>6</v>
      </c>
      <c r="C252" s="100" t="s">
        <v>265</v>
      </c>
      <c r="D252" s="101">
        <f t="shared" si="91"/>
        <v>0</v>
      </c>
      <c r="E252" s="101"/>
      <c r="F252" s="21"/>
      <c r="G252" s="103"/>
      <c r="H252" s="102">
        <f t="shared" si="92"/>
        <v>0</v>
      </c>
      <c r="I252" s="103" t="s">
        <v>49</v>
      </c>
      <c r="J252" s="35">
        <f t="shared" si="94"/>
        <v>0</v>
      </c>
      <c r="K252" s="101">
        <v>1422.62619047619</v>
      </c>
      <c r="L252" s="23"/>
      <c r="M252" s="151"/>
      <c r="N252" s="33">
        <f t="shared" si="93"/>
        <v>1395.52854875283</v>
      </c>
      <c r="O252" s="152">
        <v>1450.25</v>
      </c>
      <c r="P252" s="20"/>
      <c r="Q252" s="20"/>
      <c r="R252" s="20"/>
      <c r="S252" s="20"/>
      <c r="T252" s="20"/>
      <c r="U252" s="20"/>
      <c r="W252" s="2"/>
    </row>
    <row r="253" ht="15" customHeight="1" spans="2:23">
      <c r="B253" s="150">
        <v>7</v>
      </c>
      <c r="C253" s="40" t="s">
        <v>266</v>
      </c>
      <c r="D253" s="101">
        <f t="shared" si="91"/>
        <v>0</v>
      </c>
      <c r="E253" s="101"/>
      <c r="F253" s="35"/>
      <c r="G253" s="102"/>
      <c r="H253" s="102">
        <f t="shared" si="92"/>
        <v>0</v>
      </c>
      <c r="I253" s="103" t="s">
        <v>49</v>
      </c>
      <c r="J253" s="35">
        <f t="shared" si="94"/>
        <v>0</v>
      </c>
      <c r="K253" s="101">
        <v>1906.97142857143</v>
      </c>
      <c r="L253" s="153"/>
      <c r="M253" s="105"/>
      <c r="N253" s="33">
        <f t="shared" si="93"/>
        <v>1870.64816326531</v>
      </c>
      <c r="O253" s="133">
        <v>1944</v>
      </c>
      <c r="P253" s="20"/>
      <c r="Q253" s="20"/>
      <c r="R253" s="20"/>
      <c r="S253" s="20"/>
      <c r="T253" s="20"/>
      <c r="U253" s="20"/>
      <c r="W253" s="2"/>
    </row>
    <row r="254" ht="15" customHeight="1" spans="2:23">
      <c r="B254" s="150">
        <v>8</v>
      </c>
      <c r="C254" s="40" t="s">
        <v>267</v>
      </c>
      <c r="D254" s="101">
        <f t="shared" si="91"/>
        <v>0</v>
      </c>
      <c r="E254" s="101"/>
      <c r="F254" s="35"/>
      <c r="G254" s="102"/>
      <c r="H254" s="102">
        <f t="shared" si="92"/>
        <v>0</v>
      </c>
      <c r="I254" s="103" t="s">
        <v>34</v>
      </c>
      <c r="J254" s="35"/>
      <c r="K254" s="101">
        <v>387</v>
      </c>
      <c r="L254" s="153"/>
      <c r="M254" s="105"/>
      <c r="N254" s="33">
        <f t="shared" si="93"/>
        <v>379.628571428571</v>
      </c>
      <c r="O254" s="133">
        <v>283.16</v>
      </c>
      <c r="P254" s="20"/>
      <c r="Q254" s="20"/>
      <c r="R254" s="20"/>
      <c r="S254" s="20"/>
      <c r="T254" s="20"/>
      <c r="U254" s="20"/>
      <c r="W254" s="2"/>
    </row>
    <row r="255" ht="15" customHeight="1" spans="2:23">
      <c r="B255" s="150">
        <v>9</v>
      </c>
      <c r="C255" s="40" t="s">
        <v>268</v>
      </c>
      <c r="D255" s="101">
        <f t="shared" si="91"/>
        <v>41.85</v>
      </c>
      <c r="E255" s="101"/>
      <c r="F255" s="35"/>
      <c r="G255" s="102"/>
      <c r="H255" s="102">
        <f t="shared" si="92"/>
        <v>41.85</v>
      </c>
      <c r="I255" s="103" t="s">
        <v>34</v>
      </c>
      <c r="J255" s="35">
        <v>1350</v>
      </c>
      <c r="K255" s="101">
        <v>310</v>
      </c>
      <c r="L255" s="153"/>
      <c r="M255" s="105"/>
      <c r="N255" s="33">
        <f t="shared" si="93"/>
        <v>304.095238095238</v>
      </c>
      <c r="O255" s="133">
        <v>283.16</v>
      </c>
      <c r="P255" s="20"/>
      <c r="Q255" s="20"/>
      <c r="R255" s="20"/>
      <c r="S255" s="20"/>
      <c r="T255" s="20"/>
      <c r="U255" s="20"/>
      <c r="W255" s="2"/>
    </row>
    <row r="256" ht="15" customHeight="1" spans="2:23">
      <c r="B256" s="154" t="s">
        <v>89</v>
      </c>
      <c r="C256" s="155" t="s">
        <v>269</v>
      </c>
      <c r="D256" s="45">
        <f t="shared" ref="D256:H256" si="95">SUM(D257:D257)</f>
        <v>0</v>
      </c>
      <c r="E256" s="45">
        <f t="shared" si="95"/>
        <v>0</v>
      </c>
      <c r="F256" s="45">
        <f t="shared" si="95"/>
        <v>0</v>
      </c>
      <c r="G256" s="45">
        <f t="shared" si="95"/>
        <v>0</v>
      </c>
      <c r="H256" s="45">
        <f t="shared" si="95"/>
        <v>0</v>
      </c>
      <c r="I256" s="28" t="s">
        <v>17</v>
      </c>
      <c r="J256" s="28">
        <f>J173</f>
        <v>1.3</v>
      </c>
      <c r="K256" s="29">
        <f>H256*10000/J256</f>
        <v>0</v>
      </c>
      <c r="L256" s="107"/>
      <c r="M256" s="105"/>
      <c r="N256" s="33"/>
      <c r="O256" s="33"/>
      <c r="P256" s="20"/>
      <c r="Q256" s="20"/>
      <c r="R256" s="20"/>
      <c r="S256" s="20"/>
      <c r="T256" s="20"/>
      <c r="U256" s="20"/>
      <c r="V256" s="20"/>
      <c r="W256" s="2"/>
    </row>
    <row r="257" ht="15" customHeight="1" spans="2:25">
      <c r="B257" s="150">
        <v>1</v>
      </c>
      <c r="C257" s="156" t="s">
        <v>269</v>
      </c>
      <c r="D257" s="45"/>
      <c r="E257" s="101">
        <f>ROUND(J257*K257/10000,2)</f>
        <v>0</v>
      </c>
      <c r="F257" s="21"/>
      <c r="G257" s="103"/>
      <c r="H257" s="102">
        <f t="shared" ref="H257:H261" si="96">SUM(D257:G257)</f>
        <v>0</v>
      </c>
      <c r="I257" s="35" t="s">
        <v>49</v>
      </c>
      <c r="J257" s="35">
        <v>0</v>
      </c>
      <c r="K257" s="101">
        <v>490476.19047619</v>
      </c>
      <c r="L257" s="107"/>
      <c r="M257" s="105"/>
      <c r="N257" s="33">
        <f>K257/1.05*1.03</f>
        <v>481133.786848072</v>
      </c>
      <c r="O257" s="133">
        <v>500000</v>
      </c>
      <c r="P257" s="20"/>
      <c r="Q257" s="20"/>
      <c r="R257" s="20"/>
      <c r="S257" s="20"/>
      <c r="T257" s="20"/>
      <c r="U257" s="20"/>
      <c r="V257" s="20"/>
      <c r="W257" s="2"/>
    </row>
    <row r="258" ht="15" customHeight="1" spans="2:25">
      <c r="B258" s="96">
        <v>1.4</v>
      </c>
      <c r="C258" s="26" t="s">
        <v>180</v>
      </c>
      <c r="D258" s="27">
        <f>D259+D262+D284+D291+D298+D305+D310+D321+D331</f>
        <v>1765.88</v>
      </c>
      <c r="E258" s="27">
        <f>E259+E262+E284+E291+E298+E305+E310+E321+E331</f>
        <v>0</v>
      </c>
      <c r="F258" s="27">
        <f>F259+F262+F284+F291+F298+F305+F310+F321+F331</f>
        <v>0</v>
      </c>
      <c r="G258" s="27">
        <f>G259+G262+G284+G291+G298+G305+G310+G321+G331</f>
        <v>0</v>
      </c>
      <c r="H258" s="27">
        <f>H259+H262+H284+H291+H298+H305+H310+H321+H331</f>
        <v>1765.88</v>
      </c>
      <c r="I258" s="28" t="s">
        <v>17</v>
      </c>
      <c r="J258" s="27">
        <f>S2</f>
        <v>0.715</v>
      </c>
      <c r="K258" s="29">
        <f>H258/J258*10000</f>
        <v>24697622.3776224</v>
      </c>
      <c r="L258" s="30"/>
      <c r="M258" s="97"/>
      <c r="N258" s="32"/>
      <c r="O258" s="32"/>
      <c r="P258" s="20"/>
      <c r="Q258" s="20"/>
      <c r="R258" s="20"/>
      <c r="S258" s="20"/>
      <c r="T258" s="20"/>
      <c r="U258" s="20"/>
      <c r="V258" s="34"/>
      <c r="W258" s="2"/>
    </row>
    <row r="259" ht="15" customHeight="1" spans="2:25">
      <c r="B259" s="96" t="s">
        <v>19</v>
      </c>
      <c r="C259" s="26" t="s">
        <v>20</v>
      </c>
      <c r="D259" s="27">
        <f>SUM(D260:D261)</f>
        <v>16.93</v>
      </c>
      <c r="E259" s="27">
        <f t="shared" ref="E259:G259" si="97">SUM(E260:E268)</f>
        <v>0</v>
      </c>
      <c r="F259" s="27">
        <f t="shared" si="97"/>
        <v>0</v>
      </c>
      <c r="G259" s="27">
        <f t="shared" si="97"/>
        <v>0</v>
      </c>
      <c r="H259" s="27">
        <f>SUM(H260:H261)</f>
        <v>16.93</v>
      </c>
      <c r="I259" s="28" t="s">
        <v>17</v>
      </c>
      <c r="J259" s="27">
        <f>J258</f>
        <v>0.715</v>
      </c>
      <c r="K259" s="29">
        <f>H259/J259*10000</f>
        <v>236783.216783217</v>
      </c>
      <c r="L259" s="98"/>
      <c r="M259" s="97"/>
      <c r="N259" s="32"/>
      <c r="O259" s="32"/>
      <c r="P259" s="20"/>
      <c r="Q259" s="20"/>
      <c r="R259" s="20"/>
      <c r="S259" s="20"/>
      <c r="T259" s="20"/>
      <c r="U259" s="20"/>
      <c r="V259" s="20"/>
      <c r="W259" s="2"/>
    </row>
    <row r="260" s="87" customFormat="1" ht="15" customHeight="1" spans="2:25">
      <c r="B260" s="99">
        <v>1</v>
      </c>
      <c r="C260" s="100" t="s">
        <v>197</v>
      </c>
      <c r="D260" s="101">
        <f t="shared" ref="D260:D283" si="98">ROUND(J260*K260/10000,2)</f>
        <v>15.95</v>
      </c>
      <c r="E260" s="35"/>
      <c r="F260" s="35"/>
      <c r="G260" s="102"/>
      <c r="H260" s="102">
        <f t="shared" si="96"/>
        <v>15.95</v>
      </c>
      <c r="I260" s="103" t="s">
        <v>22</v>
      </c>
      <c r="J260" s="35">
        <f>6169*0.3+9781*0.19</f>
        <v>3709.09</v>
      </c>
      <c r="K260" s="101">
        <v>43</v>
      </c>
      <c r="L260" s="104"/>
      <c r="M260" s="105"/>
      <c r="N260" s="33">
        <f>K260/1.05*1.03</f>
        <v>42.1809523809524</v>
      </c>
      <c r="O260" s="157">
        <v>14.05</v>
      </c>
      <c r="P260" s="158"/>
      <c r="Q260" s="158"/>
      <c r="R260" s="158"/>
      <c r="S260" s="158"/>
      <c r="T260" s="158"/>
      <c r="U260" s="158"/>
      <c r="V260" s="159"/>
      <c r="X260" s="159"/>
      <c r="Y260" s="159"/>
    </row>
    <row r="261" ht="15" customHeight="1" spans="2:25">
      <c r="B261" s="99">
        <v>2</v>
      </c>
      <c r="C261" s="100" t="s">
        <v>198</v>
      </c>
      <c r="D261" s="101">
        <f t="shared" si="98"/>
        <v>0.98</v>
      </c>
      <c r="E261" s="21"/>
      <c r="F261" s="21"/>
      <c r="G261" s="103"/>
      <c r="H261" s="102">
        <f t="shared" si="96"/>
        <v>0.98</v>
      </c>
      <c r="I261" s="103" t="s">
        <v>27</v>
      </c>
      <c r="J261" s="35">
        <v>9781</v>
      </c>
      <c r="K261" s="101">
        <v>1</v>
      </c>
      <c r="L261" s="18"/>
      <c r="M261" s="105"/>
      <c r="N261" s="33">
        <f>K261/1.05*1.03</f>
        <v>0.980952380952381</v>
      </c>
      <c r="O261" s="106">
        <v>14.67</v>
      </c>
      <c r="P261" s="20"/>
      <c r="Q261" s="20"/>
      <c r="R261" s="20"/>
      <c r="S261" s="20"/>
      <c r="T261" s="20"/>
      <c r="U261" s="20"/>
      <c r="W261" s="2"/>
    </row>
    <row r="262" ht="15" customHeight="1" spans="2:25">
      <c r="B262" s="96" t="s">
        <v>39</v>
      </c>
      <c r="C262" s="26" t="s">
        <v>40</v>
      </c>
      <c r="D262" s="27">
        <f>SUM(D263:D283)</f>
        <v>794.83</v>
      </c>
      <c r="E262" s="27">
        <f t="shared" ref="E262:G262" si="99">SUM(E263:E271)</f>
        <v>0</v>
      </c>
      <c r="F262" s="27">
        <f t="shared" si="99"/>
        <v>0</v>
      </c>
      <c r="G262" s="27">
        <f t="shared" si="99"/>
        <v>0</v>
      </c>
      <c r="H262" s="27">
        <f>SUM(H263:H283)</f>
        <v>794.83</v>
      </c>
      <c r="I262" s="28" t="s">
        <v>27</v>
      </c>
      <c r="J262" s="27">
        <f>J268+J278</f>
        <v>14991</v>
      </c>
      <c r="K262" s="29">
        <f>H262*10000/J262</f>
        <v>530.204789540391</v>
      </c>
      <c r="L262" s="107"/>
      <c r="M262" s="97"/>
      <c r="N262" s="32"/>
      <c r="O262" s="32"/>
      <c r="P262" s="20"/>
      <c r="Q262" s="20"/>
      <c r="R262" s="20"/>
      <c r="S262" s="20"/>
      <c r="T262" s="20"/>
      <c r="U262" s="20"/>
      <c r="V262" s="34"/>
      <c r="W262" s="2"/>
    </row>
    <row r="263" s="83" customFormat="1" ht="15" customHeight="1" spans="2:25">
      <c r="B263" s="108">
        <v>1</v>
      </c>
      <c r="C263" s="109" t="s">
        <v>199</v>
      </c>
      <c r="D263" s="110">
        <f t="shared" si="98"/>
        <v>54.7</v>
      </c>
      <c r="E263" s="111"/>
      <c r="F263" s="111"/>
      <c r="G263" s="112"/>
      <c r="H263" s="113">
        <f t="shared" ref="H263:H283" si="100">SUM(D263:G263)</f>
        <v>54.7</v>
      </c>
      <c r="I263" s="112" t="s">
        <v>27</v>
      </c>
      <c r="J263" s="114">
        <v>8822</v>
      </c>
      <c r="K263" s="110">
        <v>62</v>
      </c>
      <c r="L263" s="115"/>
      <c r="M263" s="116"/>
      <c r="N263" s="117">
        <f t="shared" ref="N263:N283" si="101">K263/1.05*1.03</f>
        <v>60.8190476190476</v>
      </c>
      <c r="O263" s="118">
        <v>47.411</v>
      </c>
      <c r="P263" s="119">
        <f>J263*0.62</f>
        <v>5469.64</v>
      </c>
      <c r="Q263" s="119"/>
      <c r="R263" s="119"/>
      <c r="S263" s="119"/>
      <c r="T263" s="119"/>
      <c r="U263" s="119"/>
      <c r="V263" s="120"/>
      <c r="X263" s="120"/>
      <c r="Y263" s="120"/>
    </row>
    <row r="264" s="83" customFormat="1" ht="15" customHeight="1" spans="2:25">
      <c r="B264" s="121">
        <f t="shared" ref="B264:B283" si="102">B263+1</f>
        <v>2</v>
      </c>
      <c r="C264" s="122" t="s">
        <v>200</v>
      </c>
      <c r="D264" s="110">
        <f t="shared" si="98"/>
        <v>18.51</v>
      </c>
      <c r="E264" s="123"/>
      <c r="F264" s="123"/>
      <c r="G264" s="124"/>
      <c r="H264" s="113">
        <f t="shared" si="100"/>
        <v>18.51</v>
      </c>
      <c r="I264" s="125" t="s">
        <v>27</v>
      </c>
      <c r="J264" s="114">
        <v>6169</v>
      </c>
      <c r="K264" s="110">
        <v>30</v>
      </c>
      <c r="L264" s="126"/>
      <c r="M264" s="116"/>
      <c r="N264" s="117">
        <f t="shared" si="101"/>
        <v>29.4285714285714</v>
      </c>
      <c r="O264" s="118">
        <v>83.38</v>
      </c>
      <c r="P264" s="119">
        <f>J264*0.36</f>
        <v>2220.84</v>
      </c>
      <c r="Q264" s="119"/>
      <c r="R264" s="119"/>
      <c r="S264" s="119"/>
      <c r="T264" s="119"/>
      <c r="U264" s="119"/>
      <c r="V264" s="120"/>
      <c r="X264" s="120"/>
      <c r="Y264" s="120"/>
    </row>
    <row r="265" ht="15" customHeight="1" spans="2:25">
      <c r="B265" s="127">
        <f t="shared" si="102"/>
        <v>3</v>
      </c>
      <c r="C265" s="128" t="s">
        <v>201</v>
      </c>
      <c r="D265" s="101">
        <f t="shared" si="98"/>
        <v>2.05</v>
      </c>
      <c r="E265" s="129"/>
      <c r="F265" s="129"/>
      <c r="G265" s="130"/>
      <c r="H265" s="102">
        <f t="shared" si="100"/>
        <v>2.05</v>
      </c>
      <c r="I265" s="131" t="s">
        <v>34</v>
      </c>
      <c r="J265" s="35">
        <v>1579</v>
      </c>
      <c r="K265" s="101">
        <v>13</v>
      </c>
      <c r="L265" s="132"/>
      <c r="M265" s="105"/>
      <c r="N265" s="33">
        <f t="shared" si="101"/>
        <v>12.752380952381</v>
      </c>
      <c r="O265" s="133">
        <v>78.762</v>
      </c>
      <c r="P265" s="20"/>
      <c r="Q265" s="20"/>
      <c r="R265" s="20"/>
      <c r="S265" s="20"/>
      <c r="T265" s="20"/>
      <c r="U265" s="20"/>
      <c r="W265" s="2"/>
    </row>
    <row r="266" ht="15" customHeight="1" spans="2:25">
      <c r="B266" s="127">
        <f t="shared" si="102"/>
        <v>4</v>
      </c>
      <c r="C266" s="128" t="s">
        <v>202</v>
      </c>
      <c r="D266" s="101">
        <f t="shared" si="98"/>
        <v>1.32</v>
      </c>
      <c r="E266" s="129"/>
      <c r="F266" s="129"/>
      <c r="G266" s="130"/>
      <c r="H266" s="102">
        <f t="shared" si="100"/>
        <v>1.32</v>
      </c>
      <c r="I266" s="131" t="s">
        <v>34</v>
      </c>
      <c r="J266" s="35">
        <v>1654</v>
      </c>
      <c r="K266" s="101">
        <v>8</v>
      </c>
      <c r="L266" s="132"/>
      <c r="M266" s="105"/>
      <c r="N266" s="33">
        <f t="shared" si="101"/>
        <v>7.84761904761905</v>
      </c>
      <c r="O266" s="133">
        <v>3.434</v>
      </c>
      <c r="P266" s="20"/>
      <c r="Q266" s="20"/>
      <c r="R266" s="20"/>
      <c r="S266" s="20"/>
      <c r="T266" s="20"/>
      <c r="U266" s="20"/>
      <c r="W266" s="2"/>
    </row>
    <row r="267" ht="15" customHeight="1" spans="2:25">
      <c r="B267" s="127">
        <f t="shared" si="102"/>
        <v>5</v>
      </c>
      <c r="C267" s="128" t="s">
        <v>203</v>
      </c>
      <c r="D267" s="101">
        <f t="shared" si="98"/>
        <v>0</v>
      </c>
      <c r="E267" s="129"/>
      <c r="F267" s="129"/>
      <c r="G267" s="130"/>
      <c r="H267" s="102">
        <f t="shared" si="100"/>
        <v>0</v>
      </c>
      <c r="I267" s="131" t="s">
        <v>34</v>
      </c>
      <c r="J267" s="35">
        <v>0</v>
      </c>
      <c r="K267" s="101">
        <v>230</v>
      </c>
      <c r="L267" s="132"/>
      <c r="M267" s="105"/>
      <c r="N267" s="33">
        <f t="shared" si="101"/>
        <v>225.619047619048</v>
      </c>
      <c r="O267" s="133">
        <v>21.646</v>
      </c>
      <c r="P267" s="20"/>
      <c r="Q267" s="20"/>
      <c r="R267" s="20"/>
      <c r="S267" s="20"/>
      <c r="T267" s="20"/>
      <c r="U267" s="20"/>
      <c r="W267" s="2"/>
    </row>
    <row r="268" ht="15" customHeight="1" spans="2:25">
      <c r="B268" s="127">
        <f t="shared" si="102"/>
        <v>6</v>
      </c>
      <c r="C268" s="128" t="s">
        <v>204</v>
      </c>
      <c r="D268" s="101">
        <f t="shared" si="98"/>
        <v>92.63</v>
      </c>
      <c r="E268" s="129"/>
      <c r="F268" s="129"/>
      <c r="G268" s="130"/>
      <c r="H268" s="102">
        <f t="shared" si="100"/>
        <v>92.63</v>
      </c>
      <c r="I268" s="131" t="s">
        <v>27</v>
      </c>
      <c r="J268" s="35">
        <v>8822</v>
      </c>
      <c r="K268" s="101">
        <v>105</v>
      </c>
      <c r="L268" s="132"/>
      <c r="M268" s="105"/>
      <c r="N268" s="33">
        <f t="shared" si="101"/>
        <v>103</v>
      </c>
      <c r="O268" s="133">
        <v>6.15</v>
      </c>
      <c r="P268" s="20"/>
      <c r="Q268" s="20"/>
      <c r="R268" s="20"/>
      <c r="S268" s="20"/>
      <c r="T268" s="20"/>
      <c r="U268" s="20"/>
      <c r="W268" s="2"/>
    </row>
    <row r="269" ht="15" customHeight="1" spans="2:25">
      <c r="B269" s="127">
        <f t="shared" si="102"/>
        <v>7</v>
      </c>
      <c r="C269" s="128" t="s">
        <v>205</v>
      </c>
      <c r="D269" s="101">
        <f t="shared" si="98"/>
        <v>0</v>
      </c>
      <c r="E269" s="129"/>
      <c r="F269" s="129"/>
      <c r="G269" s="130"/>
      <c r="H269" s="102">
        <f t="shared" si="100"/>
        <v>0</v>
      </c>
      <c r="I269" s="131" t="s">
        <v>27</v>
      </c>
      <c r="J269" s="35">
        <v>0</v>
      </c>
      <c r="K269" s="101">
        <v>98</v>
      </c>
      <c r="L269" s="132"/>
      <c r="M269" s="105"/>
      <c r="N269" s="33">
        <f t="shared" si="101"/>
        <v>96.1333333333333</v>
      </c>
      <c r="O269" s="133">
        <v>99.778</v>
      </c>
      <c r="P269" s="20"/>
      <c r="Q269" s="20"/>
      <c r="R269" s="20"/>
      <c r="S269" s="20"/>
      <c r="T269" s="20"/>
      <c r="U269" s="20"/>
      <c r="W269" s="2"/>
    </row>
    <row r="270" ht="15" customHeight="1" spans="2:25">
      <c r="B270" s="127">
        <f t="shared" si="102"/>
        <v>8</v>
      </c>
      <c r="C270" s="128" t="s">
        <v>206</v>
      </c>
      <c r="D270" s="101">
        <f t="shared" si="98"/>
        <v>113.8</v>
      </c>
      <c r="E270" s="129"/>
      <c r="F270" s="129"/>
      <c r="G270" s="130"/>
      <c r="H270" s="102">
        <f t="shared" si="100"/>
        <v>113.8</v>
      </c>
      <c r="I270" s="131" t="s">
        <v>27</v>
      </c>
      <c r="J270" s="35">
        <v>8822</v>
      </c>
      <c r="K270" s="101">
        <v>129</v>
      </c>
      <c r="L270" s="132"/>
      <c r="M270" s="105"/>
      <c r="N270" s="33">
        <f t="shared" si="101"/>
        <v>126.542857142857</v>
      </c>
      <c r="O270" s="133">
        <v>95.083</v>
      </c>
      <c r="P270" s="20"/>
      <c r="Q270" s="20"/>
      <c r="R270" s="20"/>
      <c r="S270" s="20"/>
      <c r="T270" s="20"/>
      <c r="U270" s="20"/>
      <c r="W270" s="2"/>
    </row>
    <row r="271" ht="15" customHeight="1" spans="2:25">
      <c r="B271" s="127">
        <f t="shared" si="102"/>
        <v>9</v>
      </c>
      <c r="C271" s="128" t="s">
        <v>207</v>
      </c>
      <c r="D271" s="101">
        <f t="shared" si="98"/>
        <v>0</v>
      </c>
      <c r="E271" s="129"/>
      <c r="F271" s="129"/>
      <c r="G271" s="130"/>
      <c r="H271" s="102">
        <f t="shared" si="100"/>
        <v>0</v>
      </c>
      <c r="I271" s="131" t="s">
        <v>27</v>
      </c>
      <c r="J271" s="35">
        <f t="shared" ref="J271:J276" si="103">SUM(P271:T271)</f>
        <v>0</v>
      </c>
      <c r="K271" s="101">
        <v>132</v>
      </c>
      <c r="L271" s="132"/>
      <c r="M271" s="105"/>
      <c r="N271" s="33">
        <f t="shared" si="101"/>
        <v>129.485714285714</v>
      </c>
      <c r="O271" s="133">
        <v>37.543</v>
      </c>
      <c r="P271" s="20"/>
      <c r="Q271" s="20"/>
      <c r="R271" s="20"/>
      <c r="S271" s="20"/>
      <c r="T271" s="20"/>
      <c r="U271" s="20"/>
      <c r="W271" s="2"/>
    </row>
    <row r="272" ht="15" customHeight="1" spans="2:25">
      <c r="B272" s="127">
        <f t="shared" si="102"/>
        <v>10</v>
      </c>
      <c r="C272" s="128" t="s">
        <v>208</v>
      </c>
      <c r="D272" s="101">
        <f t="shared" si="98"/>
        <v>19.41</v>
      </c>
      <c r="E272" s="129"/>
      <c r="F272" s="129"/>
      <c r="G272" s="130"/>
      <c r="H272" s="102">
        <f t="shared" si="100"/>
        <v>19.41</v>
      </c>
      <c r="I272" s="131" t="s">
        <v>27</v>
      </c>
      <c r="J272" s="35">
        <v>8822</v>
      </c>
      <c r="K272" s="101">
        <v>22</v>
      </c>
      <c r="L272" s="132"/>
      <c r="M272" s="105"/>
      <c r="N272" s="33">
        <f t="shared" si="101"/>
        <v>21.5809523809524</v>
      </c>
      <c r="O272" s="133">
        <v>136.246</v>
      </c>
      <c r="P272" s="20"/>
      <c r="Q272" s="20"/>
      <c r="R272" s="20"/>
      <c r="S272" s="20"/>
      <c r="T272" s="20"/>
      <c r="U272" s="20"/>
      <c r="W272" s="2"/>
    </row>
    <row r="273" ht="15" customHeight="1" spans="2:25">
      <c r="B273" s="127">
        <f t="shared" si="102"/>
        <v>11</v>
      </c>
      <c r="C273" s="128" t="s">
        <v>209</v>
      </c>
      <c r="D273" s="101">
        <f t="shared" si="98"/>
        <v>92.63</v>
      </c>
      <c r="E273" s="129"/>
      <c r="F273" s="129"/>
      <c r="G273" s="130"/>
      <c r="H273" s="102">
        <f t="shared" si="100"/>
        <v>92.63</v>
      </c>
      <c r="I273" s="131" t="s">
        <v>27</v>
      </c>
      <c r="J273" s="35">
        <v>8822</v>
      </c>
      <c r="K273" s="101">
        <v>105</v>
      </c>
      <c r="L273" s="132"/>
      <c r="M273" s="105"/>
      <c r="N273" s="33">
        <f t="shared" si="101"/>
        <v>103</v>
      </c>
      <c r="O273" s="133">
        <v>99.778</v>
      </c>
      <c r="P273" s="20"/>
      <c r="Q273" s="20"/>
      <c r="R273" s="20"/>
      <c r="S273" s="20"/>
      <c r="T273" s="20"/>
      <c r="U273" s="20"/>
      <c r="W273" s="2"/>
    </row>
    <row r="274" ht="15" customHeight="1" spans="2:25">
      <c r="B274" s="127">
        <f t="shared" si="102"/>
        <v>12</v>
      </c>
      <c r="C274" s="128" t="s">
        <v>210</v>
      </c>
      <c r="D274" s="101">
        <f t="shared" si="98"/>
        <v>0</v>
      </c>
      <c r="E274" s="129"/>
      <c r="F274" s="129"/>
      <c r="G274" s="130"/>
      <c r="H274" s="102">
        <f t="shared" si="100"/>
        <v>0</v>
      </c>
      <c r="I274" s="131" t="s">
        <v>27</v>
      </c>
      <c r="J274" s="35">
        <f t="shared" si="103"/>
        <v>0</v>
      </c>
      <c r="K274" s="101">
        <v>99</v>
      </c>
      <c r="L274" s="132"/>
      <c r="M274" s="105"/>
      <c r="N274" s="33">
        <f t="shared" si="101"/>
        <v>97.1142857142857</v>
      </c>
      <c r="O274" s="133">
        <v>49.107</v>
      </c>
      <c r="P274" s="20"/>
      <c r="Q274" s="20"/>
      <c r="R274" s="20"/>
      <c r="S274" s="20"/>
      <c r="T274" s="20"/>
      <c r="U274" s="20"/>
      <c r="W274" s="2"/>
    </row>
    <row r="275" ht="15" customHeight="1" spans="2:25">
      <c r="B275" s="127">
        <f t="shared" si="102"/>
        <v>13</v>
      </c>
      <c r="C275" s="128" t="s">
        <v>211</v>
      </c>
      <c r="D275" s="101">
        <f t="shared" si="98"/>
        <v>85.11</v>
      </c>
      <c r="E275" s="129"/>
      <c r="F275" s="129"/>
      <c r="G275" s="130"/>
      <c r="H275" s="102">
        <f t="shared" si="100"/>
        <v>85.11</v>
      </c>
      <c r="I275" s="131" t="s">
        <v>27</v>
      </c>
      <c r="J275" s="35">
        <v>9353</v>
      </c>
      <c r="K275" s="101">
        <v>91</v>
      </c>
      <c r="L275" s="132"/>
      <c r="M275" s="105"/>
      <c r="N275" s="33">
        <f t="shared" si="101"/>
        <v>89.2666666666667</v>
      </c>
      <c r="O275" s="133">
        <v>279.035</v>
      </c>
      <c r="P275" s="20"/>
      <c r="Q275" s="20"/>
      <c r="R275" s="20"/>
      <c r="S275" s="20"/>
      <c r="T275" s="20"/>
      <c r="U275" s="20"/>
      <c r="W275" s="2"/>
    </row>
    <row r="276" ht="15" customHeight="1" spans="2:25">
      <c r="B276" s="127">
        <f t="shared" si="102"/>
        <v>14</v>
      </c>
      <c r="C276" s="128" t="s">
        <v>212</v>
      </c>
      <c r="D276" s="101">
        <f t="shared" si="98"/>
        <v>0</v>
      </c>
      <c r="E276" s="129"/>
      <c r="F276" s="129"/>
      <c r="G276" s="130"/>
      <c r="H276" s="102">
        <f t="shared" si="100"/>
        <v>0</v>
      </c>
      <c r="I276" s="131" t="s">
        <v>27</v>
      </c>
      <c r="J276" s="35">
        <f t="shared" si="103"/>
        <v>0</v>
      </c>
      <c r="K276" s="101">
        <v>56</v>
      </c>
      <c r="L276" s="132"/>
      <c r="M276" s="105"/>
      <c r="N276" s="33">
        <f t="shared" si="101"/>
        <v>54.9333333333333</v>
      </c>
      <c r="O276" s="133">
        <v>6770.562</v>
      </c>
      <c r="P276" s="20"/>
      <c r="Q276" s="20"/>
      <c r="R276" s="20"/>
      <c r="S276" s="20"/>
      <c r="T276" s="20"/>
      <c r="U276" s="20"/>
      <c r="W276" s="2"/>
    </row>
    <row r="277" s="87" customFormat="1" ht="15" customHeight="1" spans="2:25">
      <c r="B277" s="127">
        <f t="shared" si="102"/>
        <v>15</v>
      </c>
      <c r="C277" s="128" t="s">
        <v>213</v>
      </c>
      <c r="D277" s="101">
        <f t="shared" si="98"/>
        <v>42.06</v>
      </c>
      <c r="E277" s="129"/>
      <c r="F277" s="129"/>
      <c r="G277" s="130"/>
      <c r="H277" s="102">
        <f t="shared" si="100"/>
        <v>42.06</v>
      </c>
      <c r="I277" s="131" t="s">
        <v>27</v>
      </c>
      <c r="J277" s="35">
        <v>9781</v>
      </c>
      <c r="K277" s="101">
        <v>43</v>
      </c>
      <c r="L277" s="160"/>
      <c r="M277" s="161"/>
      <c r="N277" s="33">
        <f t="shared" si="101"/>
        <v>42.1809523809524</v>
      </c>
      <c r="O277" s="162">
        <v>7029.07</v>
      </c>
      <c r="P277" s="158"/>
      <c r="Q277" s="158"/>
      <c r="R277" s="158"/>
      <c r="S277" s="158"/>
      <c r="T277" s="158"/>
      <c r="U277" s="158"/>
      <c r="V277" s="159"/>
      <c r="X277" s="159"/>
      <c r="Y277" s="159"/>
    </row>
    <row r="278" s="87" customFormat="1" ht="15" customHeight="1" spans="2:25">
      <c r="B278" s="127">
        <f t="shared" si="102"/>
        <v>16</v>
      </c>
      <c r="C278" s="134" t="s">
        <v>214</v>
      </c>
      <c r="D278" s="101">
        <f t="shared" si="98"/>
        <v>177.05</v>
      </c>
      <c r="E278" s="129"/>
      <c r="F278" s="129"/>
      <c r="G278" s="130"/>
      <c r="H278" s="102">
        <f t="shared" si="100"/>
        <v>177.05</v>
      </c>
      <c r="I278" s="131" t="s">
        <v>27</v>
      </c>
      <c r="J278" s="35">
        <v>6169</v>
      </c>
      <c r="K278" s="101">
        <v>287</v>
      </c>
      <c r="L278" s="163"/>
      <c r="M278" s="161"/>
      <c r="N278" s="33">
        <f t="shared" si="101"/>
        <v>281.533333333333</v>
      </c>
      <c r="O278" s="162">
        <v>1</v>
      </c>
      <c r="P278" s="158"/>
      <c r="Q278" s="158"/>
      <c r="R278" s="158"/>
      <c r="S278" s="158"/>
      <c r="T278" s="158"/>
      <c r="U278" s="158"/>
      <c r="V278" s="159"/>
      <c r="X278" s="159"/>
      <c r="Y278" s="159"/>
    </row>
    <row r="279" ht="15" customHeight="1" spans="2:25">
      <c r="B279" s="127">
        <f t="shared" si="102"/>
        <v>17</v>
      </c>
      <c r="C279" s="128" t="s">
        <v>215</v>
      </c>
      <c r="D279" s="101">
        <f t="shared" si="98"/>
        <v>42.79</v>
      </c>
      <c r="E279" s="129"/>
      <c r="F279" s="129"/>
      <c r="G279" s="130"/>
      <c r="H279" s="102">
        <f t="shared" si="100"/>
        <v>42.79</v>
      </c>
      <c r="I279" s="131" t="s">
        <v>34</v>
      </c>
      <c r="J279" s="35">
        <v>1579</v>
      </c>
      <c r="K279" s="101">
        <v>271</v>
      </c>
      <c r="L279" s="132"/>
      <c r="M279" s="105"/>
      <c r="N279" s="33">
        <f t="shared" si="101"/>
        <v>265.838095238095</v>
      </c>
      <c r="O279" s="133">
        <v>161.403</v>
      </c>
      <c r="P279" s="20"/>
      <c r="Q279" s="20"/>
      <c r="R279" s="20"/>
      <c r="S279" s="20"/>
      <c r="T279" s="20"/>
      <c r="U279" s="20"/>
      <c r="W279" s="2"/>
    </row>
    <row r="280" ht="15" customHeight="1" spans="2:25">
      <c r="B280" s="127">
        <f t="shared" si="102"/>
        <v>18</v>
      </c>
      <c r="C280" s="128" t="s">
        <v>216</v>
      </c>
      <c r="D280" s="101">
        <f t="shared" si="98"/>
        <v>12.07</v>
      </c>
      <c r="E280" s="129"/>
      <c r="F280" s="129"/>
      <c r="G280" s="130"/>
      <c r="H280" s="102">
        <f t="shared" si="100"/>
        <v>12.07</v>
      </c>
      <c r="I280" s="131" t="s">
        <v>34</v>
      </c>
      <c r="J280" s="35">
        <v>1654</v>
      </c>
      <c r="K280" s="101">
        <v>73</v>
      </c>
      <c r="L280" s="132"/>
      <c r="M280" s="105"/>
      <c r="N280" s="33">
        <f t="shared" si="101"/>
        <v>71.6095238095238</v>
      </c>
      <c r="O280" s="133">
        <v>74.491</v>
      </c>
      <c r="P280" s="20"/>
      <c r="Q280" s="20"/>
      <c r="R280" s="20"/>
      <c r="S280" s="20"/>
      <c r="T280" s="20"/>
      <c r="U280" s="20"/>
      <c r="W280" s="2"/>
    </row>
    <row r="281" ht="15" customHeight="1" spans="2:25">
      <c r="B281" s="127">
        <f t="shared" si="102"/>
        <v>19</v>
      </c>
      <c r="C281" s="134" t="s">
        <v>217</v>
      </c>
      <c r="D281" s="101">
        <f t="shared" si="98"/>
        <v>6.35</v>
      </c>
      <c r="E281" s="129"/>
      <c r="F281" s="129"/>
      <c r="G281" s="130"/>
      <c r="H281" s="102">
        <f t="shared" si="100"/>
        <v>6.35</v>
      </c>
      <c r="I281" s="131" t="s">
        <v>119</v>
      </c>
      <c r="J281" s="35">
        <v>35</v>
      </c>
      <c r="K281" s="101">
        <v>1815</v>
      </c>
      <c r="L281" s="132"/>
      <c r="M281" s="105"/>
      <c r="N281" s="33">
        <f t="shared" si="101"/>
        <v>1780.42857142857</v>
      </c>
      <c r="O281" s="133">
        <v>280.33</v>
      </c>
      <c r="P281" s="20"/>
      <c r="Q281" s="20"/>
      <c r="R281" s="20"/>
      <c r="S281" s="20"/>
      <c r="T281" s="20"/>
      <c r="U281" s="20"/>
      <c r="W281" s="2"/>
    </row>
    <row r="282" ht="15" customHeight="1" spans="2:25">
      <c r="B282" s="127">
        <f t="shared" si="102"/>
        <v>20</v>
      </c>
      <c r="C282" s="134" t="s">
        <v>218</v>
      </c>
      <c r="D282" s="101">
        <f t="shared" si="98"/>
        <v>12.8</v>
      </c>
      <c r="E282" s="129"/>
      <c r="F282" s="129"/>
      <c r="G282" s="130"/>
      <c r="H282" s="102">
        <f t="shared" si="100"/>
        <v>12.8</v>
      </c>
      <c r="I282" s="131" t="s">
        <v>119</v>
      </c>
      <c r="J282" s="35">
        <v>46</v>
      </c>
      <c r="K282" s="101">
        <v>2783</v>
      </c>
      <c r="L282" s="132"/>
      <c r="M282" s="105"/>
      <c r="N282" s="33">
        <f t="shared" si="101"/>
        <v>2729.99047619048</v>
      </c>
      <c r="O282" s="133">
        <v>1838</v>
      </c>
      <c r="P282" s="20"/>
      <c r="Q282" s="20"/>
      <c r="R282" s="20"/>
      <c r="S282" s="20"/>
      <c r="T282" s="20"/>
      <c r="U282" s="20"/>
      <c r="W282" s="2"/>
    </row>
    <row r="283" ht="15" customHeight="1" spans="2:25">
      <c r="B283" s="127">
        <f t="shared" si="102"/>
        <v>21</v>
      </c>
      <c r="C283" s="134" t="s">
        <v>219</v>
      </c>
      <c r="D283" s="101">
        <f t="shared" si="98"/>
        <v>21.55</v>
      </c>
      <c r="E283" s="129"/>
      <c r="F283" s="129"/>
      <c r="G283" s="130"/>
      <c r="H283" s="102">
        <f t="shared" si="100"/>
        <v>21.55</v>
      </c>
      <c r="I283" s="131" t="s">
        <v>119</v>
      </c>
      <c r="J283" s="35">
        <v>86</v>
      </c>
      <c r="K283" s="101">
        <v>2506</v>
      </c>
      <c r="L283" s="132"/>
      <c r="M283" s="105"/>
      <c r="N283" s="33">
        <f t="shared" si="101"/>
        <v>2458.26666666667</v>
      </c>
      <c r="O283" s="133">
        <v>2823.25</v>
      </c>
      <c r="P283" s="20"/>
      <c r="Q283" s="20"/>
      <c r="R283" s="20"/>
      <c r="S283" s="20"/>
      <c r="T283" s="20"/>
      <c r="U283" s="20"/>
      <c r="W283" s="2"/>
    </row>
    <row r="284" s="83" customFormat="1" ht="15" customHeight="1" spans="2:25">
      <c r="B284" s="135" t="s">
        <v>45</v>
      </c>
      <c r="C284" s="136" t="s">
        <v>68</v>
      </c>
      <c r="D284" s="137">
        <f>SUM(D285:D290)</f>
        <v>97.57</v>
      </c>
      <c r="E284" s="137">
        <f>SUM(E285:E290)</f>
        <v>0</v>
      </c>
      <c r="F284" s="137">
        <f>SUM(F285:F290)</f>
        <v>0</v>
      </c>
      <c r="G284" s="137">
        <f>SUM(G285:G290)</f>
        <v>0</v>
      </c>
      <c r="H284" s="137">
        <f>SUM(H285:H290)</f>
        <v>97.57</v>
      </c>
      <c r="I284" s="138" t="s">
        <v>17</v>
      </c>
      <c r="J284" s="137">
        <f>S2</f>
        <v>0.715</v>
      </c>
      <c r="K284" s="139">
        <f>H284/J284*10000</f>
        <v>1364615.38461538</v>
      </c>
      <c r="L284" s="140"/>
      <c r="M284" s="141"/>
      <c r="N284" s="142"/>
      <c r="O284" s="142"/>
      <c r="P284" s="119"/>
      <c r="Q284" s="119"/>
      <c r="R284" s="119"/>
      <c r="S284" s="119"/>
      <c r="T284" s="119"/>
      <c r="U284" s="119"/>
      <c r="V284" s="143"/>
      <c r="X284" s="120"/>
      <c r="Y284" s="120"/>
    </row>
    <row r="285" s="83" customFormat="1" ht="15" customHeight="1" spans="2:25">
      <c r="B285" s="121">
        <v>1</v>
      </c>
      <c r="C285" s="144" t="s">
        <v>292</v>
      </c>
      <c r="D285" s="110">
        <f t="shared" ref="D285:D287" si="104">ROUND(J285*K285/10000,2)</f>
        <v>42.9</v>
      </c>
      <c r="E285" s="123"/>
      <c r="F285" s="123"/>
      <c r="G285" s="124"/>
      <c r="H285" s="113">
        <f t="shared" ref="H285:H287" si="105">SUM(D285:G285)</f>
        <v>42.9</v>
      </c>
      <c r="I285" s="125" t="s">
        <v>34</v>
      </c>
      <c r="J285" s="114">
        <v>100</v>
      </c>
      <c r="K285" s="110">
        <v>4290</v>
      </c>
      <c r="L285" s="126"/>
      <c r="M285" s="116"/>
      <c r="N285" s="117">
        <f t="shared" ref="N285:N287" si="106">K285/1.05*1.03</f>
        <v>4208.28571428571</v>
      </c>
      <c r="O285" s="118">
        <v>3257.528</v>
      </c>
      <c r="P285" s="119"/>
      <c r="Q285" s="119"/>
      <c r="R285" s="119"/>
      <c r="S285" s="119"/>
      <c r="T285" s="119"/>
      <c r="U285" s="119"/>
      <c r="V285" s="120"/>
      <c r="X285" s="120"/>
      <c r="Y285" s="120"/>
    </row>
    <row r="286" s="83" customFormat="1" ht="15" customHeight="1" spans="2:25">
      <c r="B286" s="121">
        <v>2</v>
      </c>
      <c r="C286" s="144" t="s">
        <v>293</v>
      </c>
      <c r="D286" s="110">
        <f t="shared" si="104"/>
        <v>3.05</v>
      </c>
      <c r="E286" s="123"/>
      <c r="F286" s="123"/>
      <c r="G286" s="124"/>
      <c r="H286" s="113">
        <f t="shared" si="105"/>
        <v>3.05</v>
      </c>
      <c r="I286" s="125" t="s">
        <v>276</v>
      </c>
      <c r="J286" s="114">
        <v>5</v>
      </c>
      <c r="K286" s="110">
        <v>6097</v>
      </c>
      <c r="L286" s="126"/>
      <c r="M286" s="116"/>
      <c r="N286" s="117">
        <f t="shared" si="106"/>
        <v>5980.86666666667</v>
      </c>
      <c r="O286" s="118">
        <v>0</v>
      </c>
      <c r="P286" s="119"/>
      <c r="Q286" s="119"/>
      <c r="R286" s="119"/>
      <c r="S286" s="119"/>
      <c r="T286" s="119"/>
      <c r="U286" s="119"/>
      <c r="V286" s="120"/>
      <c r="X286" s="120"/>
      <c r="Y286" s="120"/>
    </row>
    <row r="287" s="83" customFormat="1" ht="15" customHeight="1" spans="2:25">
      <c r="B287" s="121">
        <v>3</v>
      </c>
      <c r="C287" s="144" t="s">
        <v>294</v>
      </c>
      <c r="D287" s="110">
        <f t="shared" si="104"/>
        <v>15.06</v>
      </c>
      <c r="E287" s="123"/>
      <c r="F287" s="123"/>
      <c r="G287" s="124"/>
      <c r="H287" s="113">
        <f t="shared" si="105"/>
        <v>15.06</v>
      </c>
      <c r="I287" s="125" t="s">
        <v>276</v>
      </c>
      <c r="J287" s="114">
        <v>15</v>
      </c>
      <c r="K287" s="110">
        <v>10040</v>
      </c>
      <c r="L287" s="126"/>
      <c r="M287" s="116"/>
      <c r="N287" s="117">
        <f t="shared" si="106"/>
        <v>9848.7619047619</v>
      </c>
      <c r="O287" s="118">
        <v>0</v>
      </c>
      <c r="P287" s="119"/>
      <c r="Q287" s="119"/>
      <c r="R287" s="119"/>
      <c r="S287" s="119"/>
      <c r="T287" s="119"/>
      <c r="U287" s="119"/>
      <c r="V287" s="120"/>
      <c r="X287" s="120"/>
      <c r="Y287" s="120"/>
    </row>
    <row r="288" s="83" customFormat="1" ht="15" customHeight="1" spans="2:25">
      <c r="B288" s="121">
        <v>4</v>
      </c>
      <c r="C288" s="144" t="s">
        <v>295</v>
      </c>
      <c r="D288" s="110">
        <f t="shared" ref="D288:D293" si="107">ROUND(J288*K288/10000,2)</f>
        <v>36.56</v>
      </c>
      <c r="E288" s="123"/>
      <c r="F288" s="123"/>
      <c r="G288" s="124"/>
      <c r="H288" s="113">
        <f t="shared" ref="H288:H293" si="108">SUM(D288:G288)</f>
        <v>36.56</v>
      </c>
      <c r="I288" s="125" t="s">
        <v>34</v>
      </c>
      <c r="J288" s="114">
        <v>40</v>
      </c>
      <c r="K288" s="110">
        <v>9140</v>
      </c>
      <c r="L288" s="126"/>
      <c r="M288" s="116"/>
      <c r="N288" s="117">
        <f t="shared" ref="N288:N293" si="109">K288/1.05*1.03</f>
        <v>8965.90476190476</v>
      </c>
      <c r="O288" s="118">
        <v>0</v>
      </c>
      <c r="P288" s="119"/>
      <c r="Q288" s="119"/>
      <c r="R288" s="119"/>
      <c r="S288" s="119"/>
      <c r="T288" s="119"/>
      <c r="U288" s="119"/>
      <c r="V288" s="120"/>
      <c r="X288" s="120"/>
      <c r="Y288" s="120"/>
    </row>
    <row r="289" s="83" customFormat="1" ht="15" customHeight="1" spans="2:25">
      <c r="B289" s="121">
        <v>5</v>
      </c>
      <c r="C289" s="144" t="s">
        <v>296</v>
      </c>
      <c r="D289" s="110">
        <f t="shared" si="107"/>
        <v>0</v>
      </c>
      <c r="E289" s="123"/>
      <c r="F289" s="123"/>
      <c r="G289" s="124"/>
      <c r="H289" s="113">
        <f t="shared" si="108"/>
        <v>0</v>
      </c>
      <c r="I289" s="125" t="s">
        <v>34</v>
      </c>
      <c r="J289" s="114">
        <v>0</v>
      </c>
      <c r="K289" s="110">
        <v>14684</v>
      </c>
      <c r="L289" s="126"/>
      <c r="M289" s="116"/>
      <c r="N289" s="117">
        <f t="shared" si="109"/>
        <v>14404.3047619048</v>
      </c>
      <c r="O289" s="118">
        <v>2677.677</v>
      </c>
      <c r="P289" s="119"/>
      <c r="Q289" s="119"/>
      <c r="R289" s="119"/>
      <c r="S289" s="119"/>
      <c r="T289" s="119"/>
      <c r="U289" s="119"/>
      <c r="V289" s="120"/>
      <c r="X289" s="120"/>
      <c r="Y289" s="120"/>
    </row>
    <row r="290" s="83" customFormat="1" ht="15" customHeight="1" spans="2:25">
      <c r="B290" s="121">
        <v>6</v>
      </c>
      <c r="C290" s="144" t="s">
        <v>297</v>
      </c>
      <c r="D290" s="110">
        <f t="shared" si="107"/>
        <v>0</v>
      </c>
      <c r="E290" s="123"/>
      <c r="F290" s="123"/>
      <c r="G290" s="124"/>
      <c r="H290" s="113">
        <f t="shared" si="108"/>
        <v>0</v>
      </c>
      <c r="I290" s="125" t="s">
        <v>119</v>
      </c>
      <c r="J290" s="114">
        <v>0</v>
      </c>
      <c r="K290" s="164">
        <v>12000000</v>
      </c>
      <c r="L290" s="126"/>
      <c r="M290" s="116"/>
      <c r="N290" s="117">
        <f t="shared" si="109"/>
        <v>11771428.5714286</v>
      </c>
      <c r="O290" s="118">
        <v>2842.898</v>
      </c>
      <c r="P290" s="119"/>
      <c r="Q290" s="119"/>
      <c r="R290" s="119"/>
      <c r="S290" s="119"/>
      <c r="T290" s="119"/>
      <c r="U290" s="119"/>
      <c r="V290" s="120"/>
      <c r="X290" s="120"/>
      <c r="Y290" s="120"/>
    </row>
    <row r="291" s="83" customFormat="1" ht="15" customHeight="1" spans="2:25">
      <c r="B291" s="135" t="s">
        <v>59</v>
      </c>
      <c r="C291" s="136" t="s">
        <v>73</v>
      </c>
      <c r="D291" s="137">
        <f>SUM(D292:D297)</f>
        <v>331.35</v>
      </c>
      <c r="E291" s="137">
        <f>SUM(E292:E297)</f>
        <v>0</v>
      </c>
      <c r="F291" s="137">
        <f>SUM(F292:F297)</f>
        <v>0</v>
      </c>
      <c r="G291" s="137">
        <f>SUM(G292:G297)</f>
        <v>0</v>
      </c>
      <c r="H291" s="137">
        <f>SUM(H292:H297)</f>
        <v>331.35</v>
      </c>
      <c r="I291" s="138" t="s">
        <v>17</v>
      </c>
      <c r="J291" s="137">
        <f>J284</f>
        <v>0.715</v>
      </c>
      <c r="K291" s="139">
        <f>H291/J291*10000</f>
        <v>4634265.73426574</v>
      </c>
      <c r="L291" s="140"/>
      <c r="M291" s="116"/>
      <c r="N291" s="117">
        <f t="shared" si="109"/>
        <v>4545994.00599401</v>
      </c>
      <c r="O291" s="118">
        <v>375.908</v>
      </c>
      <c r="P291" s="119"/>
      <c r="Q291" s="119"/>
      <c r="R291" s="119"/>
      <c r="S291" s="119"/>
      <c r="T291" s="119"/>
      <c r="U291" s="119"/>
      <c r="V291" s="120"/>
      <c r="X291" s="120"/>
      <c r="Y291" s="120"/>
    </row>
    <row r="292" s="83" customFormat="1" ht="15" customHeight="1" spans="2:25">
      <c r="B292" s="121">
        <v>1</v>
      </c>
      <c r="C292" s="144" t="s">
        <v>273</v>
      </c>
      <c r="D292" s="110">
        <f t="shared" si="107"/>
        <v>214.5</v>
      </c>
      <c r="E292" s="123"/>
      <c r="F292" s="123"/>
      <c r="G292" s="124"/>
      <c r="H292" s="113">
        <f t="shared" si="108"/>
        <v>214.5</v>
      </c>
      <c r="I292" s="125" t="s">
        <v>34</v>
      </c>
      <c r="J292" s="114">
        <v>500</v>
      </c>
      <c r="K292" s="110">
        <v>4290</v>
      </c>
      <c r="L292" s="126"/>
      <c r="M292" s="116"/>
      <c r="N292" s="117">
        <f t="shared" si="109"/>
        <v>4208.28571428571</v>
      </c>
      <c r="O292" s="118">
        <v>1832.071</v>
      </c>
      <c r="P292" s="119"/>
      <c r="Q292" s="119"/>
      <c r="R292" s="119"/>
      <c r="S292" s="119"/>
      <c r="T292" s="119"/>
      <c r="U292" s="119"/>
      <c r="V292" s="120"/>
      <c r="X292" s="120"/>
      <c r="Y292" s="120"/>
    </row>
    <row r="293" s="83" customFormat="1" ht="15" customHeight="1" spans="2:25">
      <c r="B293" s="121">
        <v>2</v>
      </c>
      <c r="C293" s="144" t="s">
        <v>298</v>
      </c>
      <c r="D293" s="110">
        <f t="shared" si="107"/>
        <v>97.3</v>
      </c>
      <c r="E293" s="123"/>
      <c r="F293" s="123"/>
      <c r="G293" s="124"/>
      <c r="H293" s="113">
        <f t="shared" si="108"/>
        <v>97.3</v>
      </c>
      <c r="I293" s="125" t="s">
        <v>34</v>
      </c>
      <c r="J293" s="114">
        <v>200</v>
      </c>
      <c r="K293" s="110">
        <f>972968/200</f>
        <v>4864.84</v>
      </c>
      <c r="L293" s="126"/>
      <c r="M293" s="116"/>
      <c r="N293" s="117">
        <f t="shared" si="109"/>
        <v>4772.17638095238</v>
      </c>
      <c r="O293" s="118">
        <v>1832.071</v>
      </c>
      <c r="P293" s="119"/>
      <c r="Q293" s="119"/>
      <c r="R293" s="119"/>
      <c r="S293" s="119"/>
      <c r="T293" s="119"/>
      <c r="U293" s="119"/>
      <c r="V293" s="120"/>
      <c r="X293" s="120"/>
      <c r="Y293" s="120"/>
    </row>
    <row r="294" s="83" customFormat="1" ht="15" customHeight="1" spans="2:25">
      <c r="B294" s="121">
        <v>3</v>
      </c>
      <c r="C294" s="144" t="s">
        <v>274</v>
      </c>
      <c r="D294" s="110">
        <f t="shared" ref="D294:D297" si="110">ROUND(J294*K294/10000,2)</f>
        <v>2.55</v>
      </c>
      <c r="E294" s="123"/>
      <c r="F294" s="123"/>
      <c r="G294" s="124"/>
      <c r="H294" s="113">
        <f t="shared" ref="H294:H297" si="111">SUM(D294:G294)</f>
        <v>2.55</v>
      </c>
      <c r="I294" s="125" t="s">
        <v>34</v>
      </c>
      <c r="J294" s="114">
        <v>500</v>
      </c>
      <c r="K294" s="110">
        <v>51</v>
      </c>
      <c r="L294" s="126"/>
      <c r="M294" s="116"/>
      <c r="N294" s="117">
        <f t="shared" ref="N294:N297" si="112">K294/1.05*1.03</f>
        <v>50.0285714285714</v>
      </c>
      <c r="O294" s="118">
        <v>0</v>
      </c>
      <c r="P294" s="119"/>
      <c r="Q294" s="119"/>
      <c r="R294" s="119"/>
      <c r="S294" s="119"/>
      <c r="T294" s="119"/>
      <c r="U294" s="119"/>
      <c r="V294" s="120"/>
      <c r="X294" s="120"/>
      <c r="Y294" s="120"/>
    </row>
    <row r="295" s="83" customFormat="1" ht="15" customHeight="1" spans="2:25">
      <c r="B295" s="121">
        <v>4</v>
      </c>
      <c r="C295" s="144" t="s">
        <v>232</v>
      </c>
      <c r="D295" s="110">
        <f t="shared" si="110"/>
        <v>17</v>
      </c>
      <c r="E295" s="123"/>
      <c r="F295" s="123"/>
      <c r="G295" s="124"/>
      <c r="H295" s="113">
        <f t="shared" si="111"/>
        <v>17</v>
      </c>
      <c r="I295" s="125" t="s">
        <v>119</v>
      </c>
      <c r="J295" s="114">
        <v>20</v>
      </c>
      <c r="K295" s="110">
        <v>8500</v>
      </c>
      <c r="L295" s="126"/>
      <c r="M295" s="116"/>
      <c r="N295" s="117">
        <f t="shared" si="112"/>
        <v>8338.09523809524</v>
      </c>
      <c r="O295" s="118">
        <v>0</v>
      </c>
      <c r="P295" s="119"/>
      <c r="Q295" s="119"/>
      <c r="R295" s="119"/>
      <c r="S295" s="119"/>
      <c r="T295" s="119"/>
      <c r="U295" s="119"/>
      <c r="V295" s="120"/>
      <c r="X295" s="120"/>
      <c r="Y295" s="120"/>
    </row>
    <row r="296" s="83" customFormat="1" ht="15" customHeight="1" spans="2:25">
      <c r="B296" s="121">
        <v>5</v>
      </c>
      <c r="C296" s="144" t="s">
        <v>229</v>
      </c>
      <c r="D296" s="110">
        <f t="shared" si="110"/>
        <v>0</v>
      </c>
      <c r="E296" s="123"/>
      <c r="F296" s="123"/>
      <c r="G296" s="124"/>
      <c r="H296" s="113">
        <f t="shared" si="111"/>
        <v>0</v>
      </c>
      <c r="I296" s="125" t="s">
        <v>34</v>
      </c>
      <c r="J296" s="114">
        <v>0</v>
      </c>
      <c r="K296" s="110">
        <v>2738</v>
      </c>
      <c r="L296" s="126"/>
      <c r="M296" s="116"/>
      <c r="N296" s="117">
        <f t="shared" si="112"/>
        <v>2685.84761904762</v>
      </c>
      <c r="O296" s="118">
        <v>1518.193</v>
      </c>
      <c r="P296" s="119"/>
      <c r="Q296" s="119"/>
      <c r="R296" s="119"/>
      <c r="S296" s="119"/>
      <c r="T296" s="119"/>
      <c r="U296" s="119"/>
      <c r="V296" s="120"/>
      <c r="X296" s="120"/>
      <c r="Y296" s="120"/>
    </row>
    <row r="297" s="83" customFormat="1" ht="15" customHeight="1" spans="2:25">
      <c r="B297" s="121">
        <v>6</v>
      </c>
      <c r="C297" s="144" t="s">
        <v>299</v>
      </c>
      <c r="D297" s="110">
        <f t="shared" si="110"/>
        <v>0</v>
      </c>
      <c r="E297" s="123"/>
      <c r="F297" s="123"/>
      <c r="G297" s="124"/>
      <c r="H297" s="113">
        <f t="shared" si="111"/>
        <v>0</v>
      </c>
      <c r="I297" s="125" t="s">
        <v>276</v>
      </c>
      <c r="J297" s="114">
        <v>0</v>
      </c>
      <c r="K297" s="110">
        <v>5286</v>
      </c>
      <c r="L297" s="126"/>
      <c r="M297" s="116"/>
      <c r="N297" s="117">
        <f t="shared" si="112"/>
        <v>5185.31428571429</v>
      </c>
      <c r="O297" s="118">
        <v>1046.23</v>
      </c>
      <c r="P297" s="119"/>
      <c r="Q297" s="119"/>
      <c r="R297" s="119"/>
      <c r="S297" s="119"/>
      <c r="T297" s="119"/>
      <c r="U297" s="119"/>
      <c r="V297" s="120"/>
      <c r="X297" s="120"/>
      <c r="Y297" s="120"/>
    </row>
    <row r="298" s="86" customFormat="1" ht="15" customHeight="1" spans="2:25">
      <c r="B298" s="96" t="s">
        <v>63</v>
      </c>
      <c r="C298" s="26" t="s">
        <v>85</v>
      </c>
      <c r="D298" s="27">
        <f t="shared" ref="D298:H298" si="113">SUM(D299:D304)</f>
        <v>232.34</v>
      </c>
      <c r="E298" s="27">
        <f t="shared" si="113"/>
        <v>0</v>
      </c>
      <c r="F298" s="27">
        <f t="shared" si="113"/>
        <v>0</v>
      </c>
      <c r="G298" s="27">
        <f t="shared" si="113"/>
        <v>0</v>
      </c>
      <c r="H298" s="27">
        <f t="shared" si="113"/>
        <v>232.34</v>
      </c>
      <c r="I298" s="28" t="s">
        <v>17</v>
      </c>
      <c r="J298" s="27">
        <f>J291</f>
        <v>0.715</v>
      </c>
      <c r="K298" s="29">
        <f>H298/J298*10000</f>
        <v>3249510.48951049</v>
      </c>
      <c r="L298" s="107"/>
      <c r="M298" s="97"/>
      <c r="N298" s="32"/>
      <c r="O298" s="32"/>
      <c r="P298" s="20"/>
      <c r="Q298" s="20"/>
      <c r="R298" s="20"/>
      <c r="S298" s="20"/>
      <c r="T298" s="20"/>
      <c r="U298" s="20"/>
      <c r="V298" s="6"/>
      <c r="W298" s="2"/>
      <c r="X298" s="146"/>
      <c r="Y298" s="146"/>
    </row>
    <row r="299" ht="15" customHeight="1" spans="2:25">
      <c r="B299" s="127">
        <v>1</v>
      </c>
      <c r="C299" s="134" t="s">
        <v>238</v>
      </c>
      <c r="D299" s="101">
        <f t="shared" ref="D299:D304" si="114">ROUND(J299*K299/10000,2)</f>
        <v>125.13</v>
      </c>
      <c r="E299" s="129"/>
      <c r="F299" s="129"/>
      <c r="G299" s="130"/>
      <c r="H299" s="102">
        <f t="shared" ref="H299:H304" si="115">SUM(D299:G299)</f>
        <v>125.13</v>
      </c>
      <c r="I299" s="131" t="s">
        <v>34</v>
      </c>
      <c r="J299" s="35">
        <v>740</v>
      </c>
      <c r="K299" s="101">
        <v>1691</v>
      </c>
      <c r="L299" s="132"/>
      <c r="M299" s="105"/>
      <c r="N299" s="33">
        <f t="shared" ref="N299:N304" si="116">K299/1.05*1.03</f>
        <v>1658.79047619048</v>
      </c>
      <c r="O299" s="133">
        <v>2823.25</v>
      </c>
      <c r="P299" s="20"/>
      <c r="Q299" s="20"/>
      <c r="R299" s="20"/>
      <c r="S299" s="20"/>
      <c r="T299" s="20"/>
      <c r="U299" s="20"/>
      <c r="W299" s="2"/>
    </row>
    <row r="300" ht="15" customHeight="1" spans="2:25">
      <c r="B300" s="127">
        <f t="shared" ref="B300:B304" si="117">B299+1</f>
        <v>2</v>
      </c>
      <c r="C300" s="134" t="s">
        <v>239</v>
      </c>
      <c r="D300" s="101">
        <f t="shared" si="114"/>
        <v>27.64</v>
      </c>
      <c r="E300" s="129"/>
      <c r="F300" s="129"/>
      <c r="G300" s="130"/>
      <c r="H300" s="102">
        <f t="shared" si="115"/>
        <v>27.64</v>
      </c>
      <c r="I300" s="131" t="s">
        <v>34</v>
      </c>
      <c r="J300" s="35">
        <v>125</v>
      </c>
      <c r="K300" s="101">
        <v>2211</v>
      </c>
      <c r="L300" s="132"/>
      <c r="M300" s="105"/>
      <c r="N300" s="33">
        <f t="shared" si="116"/>
        <v>2168.88571428571</v>
      </c>
      <c r="O300" s="133">
        <v>2823.25</v>
      </c>
      <c r="P300" s="20"/>
      <c r="Q300" s="20"/>
      <c r="R300" s="20"/>
      <c r="S300" s="20"/>
      <c r="T300" s="20"/>
      <c r="U300" s="20"/>
      <c r="W300" s="2"/>
    </row>
    <row r="301" ht="15" customHeight="1" spans="2:25">
      <c r="B301" s="127">
        <f t="shared" si="117"/>
        <v>3</v>
      </c>
      <c r="C301" s="134" t="s">
        <v>240</v>
      </c>
      <c r="D301" s="101">
        <f t="shared" si="114"/>
        <v>60.53</v>
      </c>
      <c r="E301" s="129"/>
      <c r="F301" s="129"/>
      <c r="G301" s="130"/>
      <c r="H301" s="102">
        <f t="shared" si="115"/>
        <v>60.53</v>
      </c>
      <c r="I301" s="131" t="s">
        <v>119</v>
      </c>
      <c r="J301" s="35">
        <v>25</v>
      </c>
      <c r="K301" s="101">
        <v>24211</v>
      </c>
      <c r="L301" s="132"/>
      <c r="M301" s="105"/>
      <c r="N301" s="33">
        <f t="shared" si="116"/>
        <v>23749.8380952381</v>
      </c>
      <c r="O301" s="133">
        <v>2823.25</v>
      </c>
      <c r="P301" s="20"/>
      <c r="Q301" s="20"/>
      <c r="R301" s="20"/>
      <c r="S301" s="20"/>
      <c r="T301" s="20"/>
      <c r="U301" s="20"/>
      <c r="W301" s="2"/>
    </row>
    <row r="302" ht="15" customHeight="1" spans="2:25">
      <c r="B302" s="127">
        <f t="shared" si="117"/>
        <v>4</v>
      </c>
      <c r="C302" s="134" t="s">
        <v>241</v>
      </c>
      <c r="D302" s="101">
        <f t="shared" si="114"/>
        <v>12.11</v>
      </c>
      <c r="E302" s="129"/>
      <c r="F302" s="129"/>
      <c r="G302" s="130"/>
      <c r="H302" s="102">
        <f t="shared" si="115"/>
        <v>12.11</v>
      </c>
      <c r="I302" s="131" t="s">
        <v>119</v>
      </c>
      <c r="J302" s="35">
        <v>5</v>
      </c>
      <c r="K302" s="101">
        <v>24211</v>
      </c>
      <c r="L302" s="132"/>
      <c r="M302" s="105"/>
      <c r="N302" s="33">
        <f t="shared" si="116"/>
        <v>23749.8380952381</v>
      </c>
      <c r="O302" s="133">
        <v>2823.25</v>
      </c>
      <c r="P302" s="20"/>
      <c r="Q302" s="20"/>
      <c r="R302" s="20"/>
      <c r="S302" s="20"/>
      <c r="T302" s="20"/>
      <c r="U302" s="20"/>
      <c r="W302" s="2"/>
    </row>
    <row r="303" ht="15" customHeight="1" spans="2:25">
      <c r="B303" s="127">
        <f t="shared" si="117"/>
        <v>5</v>
      </c>
      <c r="C303" s="134" t="s">
        <v>242</v>
      </c>
      <c r="D303" s="101">
        <f t="shared" si="114"/>
        <v>5.19</v>
      </c>
      <c r="E303" s="129"/>
      <c r="F303" s="129"/>
      <c r="G303" s="130"/>
      <c r="H303" s="102">
        <f t="shared" si="115"/>
        <v>5.19</v>
      </c>
      <c r="I303" s="131" t="s">
        <v>34</v>
      </c>
      <c r="J303" s="35">
        <v>1730</v>
      </c>
      <c r="K303" s="101">
        <v>30</v>
      </c>
      <c r="L303" s="132"/>
      <c r="M303" s="105"/>
      <c r="N303" s="33">
        <f t="shared" si="116"/>
        <v>29.4285714285714</v>
      </c>
      <c r="O303" s="133">
        <v>2823.25</v>
      </c>
      <c r="P303" s="20"/>
      <c r="Q303" s="20"/>
      <c r="R303" s="20"/>
      <c r="S303" s="20"/>
      <c r="T303" s="20"/>
      <c r="U303" s="20"/>
      <c r="W303" s="2"/>
    </row>
    <row r="304" ht="15" customHeight="1" spans="2:25">
      <c r="B304" s="127">
        <f t="shared" si="117"/>
        <v>6</v>
      </c>
      <c r="C304" s="134" t="s">
        <v>243</v>
      </c>
      <c r="D304" s="101">
        <f t="shared" si="114"/>
        <v>1.74</v>
      </c>
      <c r="E304" s="129"/>
      <c r="F304" s="129"/>
      <c r="G304" s="130"/>
      <c r="H304" s="102">
        <f t="shared" si="115"/>
        <v>1.74</v>
      </c>
      <c r="I304" s="131" t="s">
        <v>49</v>
      </c>
      <c r="J304" s="35">
        <v>120</v>
      </c>
      <c r="K304" s="101">
        <v>145</v>
      </c>
      <c r="L304" s="132"/>
      <c r="M304" s="105"/>
      <c r="N304" s="33">
        <f t="shared" si="116"/>
        <v>142.238095238095</v>
      </c>
      <c r="O304" s="133">
        <v>2823.25</v>
      </c>
      <c r="P304" s="20"/>
      <c r="Q304" s="20"/>
      <c r="R304" s="20"/>
      <c r="S304" s="20"/>
      <c r="T304" s="20"/>
      <c r="U304" s="20"/>
      <c r="W304" s="2"/>
    </row>
    <row r="305" s="86" customFormat="1" ht="15" customHeight="1" spans="2:25">
      <c r="B305" s="96" t="s">
        <v>67</v>
      </c>
      <c r="C305" s="26" t="s">
        <v>90</v>
      </c>
      <c r="D305" s="27">
        <f t="shared" ref="D305:H305" si="118">SUM(D306:D309)</f>
        <v>129.18</v>
      </c>
      <c r="E305" s="27">
        <f t="shared" si="118"/>
        <v>0</v>
      </c>
      <c r="F305" s="27">
        <f t="shared" si="118"/>
        <v>0</v>
      </c>
      <c r="G305" s="27">
        <f t="shared" si="118"/>
        <v>0</v>
      </c>
      <c r="H305" s="27">
        <f t="shared" si="118"/>
        <v>129.18</v>
      </c>
      <c r="I305" s="28" t="s">
        <v>17</v>
      </c>
      <c r="J305" s="27">
        <f>J298</f>
        <v>0.715</v>
      </c>
      <c r="K305" s="29">
        <f>H305/J305*10000</f>
        <v>1806713.28671329</v>
      </c>
      <c r="L305" s="107"/>
      <c r="M305" s="97"/>
      <c r="N305" s="32"/>
      <c r="O305" s="32"/>
      <c r="P305" s="20"/>
      <c r="Q305" s="20"/>
      <c r="R305" s="20"/>
      <c r="S305" s="20"/>
      <c r="T305" s="20"/>
      <c r="U305" s="20"/>
      <c r="V305" s="6"/>
      <c r="W305" s="2"/>
      <c r="X305" s="146"/>
      <c r="Y305" s="146"/>
    </row>
    <row r="306" ht="15" customHeight="1" spans="2:25">
      <c r="B306" s="127">
        <v>1</v>
      </c>
      <c r="C306" s="134" t="s">
        <v>244</v>
      </c>
      <c r="D306" s="101">
        <f t="shared" ref="D306:D309" si="119">ROUND(J306*K306/10000,2)</f>
        <v>74.59</v>
      </c>
      <c r="E306" s="129"/>
      <c r="F306" s="129"/>
      <c r="G306" s="130"/>
      <c r="H306" s="102">
        <f t="shared" ref="H306:H309" si="120">SUM(D306:G306)</f>
        <v>74.59</v>
      </c>
      <c r="I306" s="131" t="s">
        <v>34</v>
      </c>
      <c r="J306" s="35">
        <v>740</v>
      </c>
      <c r="K306" s="101">
        <v>1008</v>
      </c>
      <c r="L306" s="132"/>
      <c r="M306" s="105"/>
      <c r="N306" s="33">
        <f t="shared" ref="N306:N309" si="121">K306/1.05*1.03</f>
        <v>988.8</v>
      </c>
      <c r="O306" s="133">
        <v>2823.25</v>
      </c>
      <c r="P306" s="20"/>
      <c r="Q306" s="20"/>
      <c r="R306" s="20"/>
      <c r="S306" s="20"/>
      <c r="T306" s="20"/>
      <c r="U306" s="20"/>
      <c r="W306" s="2"/>
    </row>
    <row r="307" ht="15" customHeight="1" spans="2:25">
      <c r="B307" s="127">
        <f t="shared" ref="B307:B309" si="122">B306+1</f>
        <v>2</v>
      </c>
      <c r="C307" s="134" t="s">
        <v>245</v>
      </c>
      <c r="D307" s="101">
        <f t="shared" si="119"/>
        <v>19.14</v>
      </c>
      <c r="E307" s="129"/>
      <c r="F307" s="129"/>
      <c r="G307" s="130"/>
      <c r="H307" s="102">
        <f t="shared" si="120"/>
        <v>19.14</v>
      </c>
      <c r="I307" s="131" t="s">
        <v>34</v>
      </c>
      <c r="J307" s="35">
        <v>125</v>
      </c>
      <c r="K307" s="101">
        <v>1531</v>
      </c>
      <c r="L307" s="132"/>
      <c r="M307" s="105"/>
      <c r="N307" s="33">
        <f t="shared" si="121"/>
        <v>1501.8380952381</v>
      </c>
      <c r="O307" s="133">
        <v>2823.25</v>
      </c>
      <c r="P307" s="20"/>
      <c r="Q307" s="20"/>
      <c r="R307" s="20"/>
      <c r="S307" s="20"/>
      <c r="T307" s="20"/>
      <c r="U307" s="20"/>
      <c r="W307" s="2"/>
    </row>
    <row r="308" ht="15" customHeight="1" spans="2:25">
      <c r="B308" s="127">
        <f t="shared" si="122"/>
        <v>3</v>
      </c>
      <c r="C308" s="134" t="s">
        <v>246</v>
      </c>
      <c r="D308" s="101">
        <f t="shared" si="119"/>
        <v>23.05</v>
      </c>
      <c r="E308" s="129"/>
      <c r="F308" s="129"/>
      <c r="G308" s="130"/>
      <c r="H308" s="102">
        <f t="shared" si="120"/>
        <v>23.05</v>
      </c>
      <c r="I308" s="131" t="s">
        <v>119</v>
      </c>
      <c r="J308" s="35">
        <v>13</v>
      </c>
      <c r="K308" s="101">
        <v>17733</v>
      </c>
      <c r="L308" s="132"/>
      <c r="M308" s="105"/>
      <c r="N308" s="33">
        <f t="shared" si="121"/>
        <v>17395.2285714286</v>
      </c>
      <c r="O308" s="133">
        <v>2823.25</v>
      </c>
      <c r="P308" s="20"/>
      <c r="Q308" s="20"/>
      <c r="R308" s="20"/>
      <c r="S308" s="20"/>
      <c r="T308" s="20"/>
      <c r="U308" s="20"/>
      <c r="W308" s="2"/>
    </row>
    <row r="309" ht="15" customHeight="1" spans="2:25">
      <c r="B309" s="127">
        <f t="shared" si="122"/>
        <v>4</v>
      </c>
      <c r="C309" s="134" t="s">
        <v>247</v>
      </c>
      <c r="D309" s="101">
        <f t="shared" si="119"/>
        <v>12.4</v>
      </c>
      <c r="E309" s="129"/>
      <c r="F309" s="129"/>
      <c r="G309" s="130"/>
      <c r="H309" s="102">
        <f t="shared" si="120"/>
        <v>12.4</v>
      </c>
      <c r="I309" s="131" t="s">
        <v>119</v>
      </c>
      <c r="J309" s="35">
        <v>5</v>
      </c>
      <c r="K309" s="101">
        <v>24793</v>
      </c>
      <c r="L309" s="132"/>
      <c r="M309" s="105"/>
      <c r="N309" s="33">
        <f t="shared" si="121"/>
        <v>24320.7523809524</v>
      </c>
      <c r="O309" s="133">
        <v>2823.25</v>
      </c>
      <c r="P309" s="20"/>
      <c r="Q309" s="20"/>
      <c r="R309" s="20"/>
      <c r="S309" s="20"/>
      <c r="T309" s="20"/>
      <c r="U309" s="20"/>
      <c r="W309" s="2"/>
    </row>
    <row r="310" s="86" customFormat="1" ht="15" customHeight="1" spans="2:25">
      <c r="B310" s="96" t="s">
        <v>72</v>
      </c>
      <c r="C310" s="26" t="s">
        <v>248</v>
      </c>
      <c r="D310" s="27">
        <f t="shared" ref="D310:H310" si="123">SUM(D311:D320)</f>
        <v>104.21</v>
      </c>
      <c r="E310" s="27">
        <f t="shared" si="123"/>
        <v>0</v>
      </c>
      <c r="F310" s="27">
        <f t="shared" si="123"/>
        <v>0</v>
      </c>
      <c r="G310" s="27">
        <f t="shared" si="123"/>
        <v>0</v>
      </c>
      <c r="H310" s="27">
        <f t="shared" si="123"/>
        <v>104.21</v>
      </c>
      <c r="I310" s="28" t="s">
        <v>17</v>
      </c>
      <c r="J310" s="27">
        <f>J284</f>
        <v>0.715</v>
      </c>
      <c r="K310" s="29">
        <f>H310/J310*10000</f>
        <v>1457482.51748252</v>
      </c>
      <c r="L310" s="107"/>
      <c r="M310" s="97"/>
      <c r="N310" s="32"/>
      <c r="O310" s="32"/>
      <c r="P310" s="20"/>
      <c r="Q310" s="20"/>
      <c r="R310" s="20"/>
      <c r="S310" s="20"/>
      <c r="T310" s="20"/>
      <c r="U310" s="20"/>
      <c r="V310" s="6"/>
      <c r="W310" s="2"/>
      <c r="X310" s="146"/>
      <c r="Y310" s="146"/>
    </row>
    <row r="311" ht="15" customHeight="1" spans="2:25">
      <c r="B311" s="127">
        <v>1</v>
      </c>
      <c r="C311" s="134" t="s">
        <v>291</v>
      </c>
      <c r="D311" s="101">
        <f t="shared" ref="D311:D320" si="124">ROUND(J311*K311/10000,2)</f>
        <v>41.84</v>
      </c>
      <c r="E311" s="129"/>
      <c r="F311" s="129"/>
      <c r="G311" s="130"/>
      <c r="H311" s="102">
        <f t="shared" ref="H311:H320" si="125">SUM(D311:G311)</f>
        <v>41.84</v>
      </c>
      <c r="I311" s="131" t="s">
        <v>52</v>
      </c>
      <c r="J311" s="35">
        <v>56</v>
      </c>
      <c r="K311" s="101">
        <v>7471</v>
      </c>
      <c r="L311" s="132"/>
      <c r="M311" s="105"/>
      <c r="N311" s="33">
        <f t="shared" ref="N311:N320" si="126">K311/1.05*1.03</f>
        <v>7328.69523809524</v>
      </c>
      <c r="O311" s="133">
        <v>2823.25</v>
      </c>
      <c r="P311" s="20"/>
      <c r="Q311" s="20"/>
      <c r="R311" s="20"/>
      <c r="S311" s="20"/>
      <c r="T311" s="20"/>
      <c r="U311" s="20"/>
      <c r="W311" s="2"/>
    </row>
    <row r="312" ht="15" customHeight="1" spans="2:25">
      <c r="B312" s="127">
        <f t="shared" ref="B312:B320" si="127">B311+1</f>
        <v>2</v>
      </c>
      <c r="C312" s="134" t="s">
        <v>250</v>
      </c>
      <c r="D312" s="101">
        <f t="shared" si="124"/>
        <v>4.71</v>
      </c>
      <c r="E312" s="129"/>
      <c r="F312" s="129"/>
      <c r="G312" s="130"/>
      <c r="H312" s="102">
        <f t="shared" si="125"/>
        <v>4.71</v>
      </c>
      <c r="I312" s="131" t="s">
        <v>52</v>
      </c>
      <c r="J312" s="35">
        <v>2</v>
      </c>
      <c r="K312" s="101">
        <v>23564</v>
      </c>
      <c r="L312" s="132"/>
      <c r="M312" s="105"/>
      <c r="N312" s="33">
        <f t="shared" si="126"/>
        <v>23115.1619047619</v>
      </c>
      <c r="O312" s="133">
        <v>2823.25</v>
      </c>
      <c r="P312" s="20"/>
      <c r="Q312" s="20"/>
      <c r="R312" s="20"/>
      <c r="S312" s="20"/>
      <c r="T312" s="20"/>
      <c r="U312" s="20"/>
      <c r="W312" s="2"/>
    </row>
    <row r="313" ht="15" customHeight="1" spans="2:25">
      <c r="B313" s="127">
        <f t="shared" si="127"/>
        <v>3</v>
      </c>
      <c r="C313" s="134" t="s">
        <v>251</v>
      </c>
      <c r="D313" s="101">
        <f t="shared" si="124"/>
        <v>0</v>
      </c>
      <c r="E313" s="129"/>
      <c r="F313" s="129"/>
      <c r="G313" s="130"/>
      <c r="H313" s="102">
        <f t="shared" si="125"/>
        <v>0</v>
      </c>
      <c r="I313" s="131" t="s">
        <v>252</v>
      </c>
      <c r="J313" s="35">
        <v>0</v>
      </c>
      <c r="K313" s="101">
        <v>177091</v>
      </c>
      <c r="L313" s="132"/>
      <c r="M313" s="105"/>
      <c r="N313" s="33">
        <f t="shared" si="126"/>
        <v>173717.838095238</v>
      </c>
      <c r="O313" s="133">
        <v>2823.25</v>
      </c>
      <c r="P313" s="20"/>
      <c r="Q313" s="20"/>
      <c r="R313" s="20"/>
      <c r="S313" s="20"/>
      <c r="T313" s="20"/>
      <c r="U313" s="20"/>
      <c r="W313" s="2"/>
    </row>
    <row r="314" ht="15" customHeight="1" spans="2:25">
      <c r="B314" s="127">
        <f t="shared" si="127"/>
        <v>4</v>
      </c>
      <c r="C314" s="134" t="s">
        <v>253</v>
      </c>
      <c r="D314" s="101">
        <f t="shared" si="124"/>
        <v>0</v>
      </c>
      <c r="E314" s="129"/>
      <c r="F314" s="129"/>
      <c r="G314" s="130"/>
      <c r="H314" s="102">
        <f t="shared" si="125"/>
        <v>0</v>
      </c>
      <c r="I314" s="131" t="s">
        <v>252</v>
      </c>
      <c r="J314" s="35">
        <v>0</v>
      </c>
      <c r="K314" s="101">
        <v>48762</v>
      </c>
      <c r="L314" s="132"/>
      <c r="M314" s="105"/>
      <c r="N314" s="33">
        <f t="shared" si="126"/>
        <v>47833.2</v>
      </c>
      <c r="O314" s="133">
        <v>2823.25</v>
      </c>
      <c r="P314" s="20"/>
      <c r="Q314" s="20"/>
      <c r="R314" s="20"/>
      <c r="S314" s="20"/>
      <c r="T314" s="20"/>
      <c r="U314" s="20"/>
      <c r="W314" s="2"/>
    </row>
    <row r="315" ht="15" customHeight="1" spans="2:25">
      <c r="B315" s="127">
        <f t="shared" si="127"/>
        <v>5</v>
      </c>
      <c r="C315" s="134" t="s">
        <v>254</v>
      </c>
      <c r="D315" s="101">
        <f t="shared" si="124"/>
        <v>3.26</v>
      </c>
      <c r="E315" s="129"/>
      <c r="F315" s="129"/>
      <c r="G315" s="130"/>
      <c r="H315" s="102">
        <f t="shared" si="125"/>
        <v>3.26</v>
      </c>
      <c r="I315" s="131" t="s">
        <v>119</v>
      </c>
      <c r="J315" s="35">
        <v>15</v>
      </c>
      <c r="K315" s="101">
        <v>2176</v>
      </c>
      <c r="L315" s="132"/>
      <c r="M315" s="105"/>
      <c r="N315" s="33">
        <f t="shared" si="126"/>
        <v>2134.55238095238</v>
      </c>
      <c r="O315" s="133">
        <v>2823.25</v>
      </c>
      <c r="P315" s="20"/>
      <c r="Q315" s="20"/>
      <c r="R315" s="20"/>
      <c r="S315" s="20"/>
      <c r="T315" s="20"/>
      <c r="U315" s="20"/>
      <c r="W315" s="2"/>
    </row>
    <row r="316" ht="15" customHeight="1" spans="2:25">
      <c r="B316" s="127">
        <f t="shared" si="127"/>
        <v>6</v>
      </c>
      <c r="C316" s="134" t="s">
        <v>255</v>
      </c>
      <c r="D316" s="101">
        <f t="shared" si="124"/>
        <v>29.93</v>
      </c>
      <c r="E316" s="129"/>
      <c r="F316" s="129"/>
      <c r="G316" s="130"/>
      <c r="H316" s="102">
        <f t="shared" si="125"/>
        <v>29.93</v>
      </c>
      <c r="I316" s="131" t="s">
        <v>34</v>
      </c>
      <c r="J316" s="35">
        <v>1720</v>
      </c>
      <c r="K316" s="101">
        <v>174</v>
      </c>
      <c r="L316" s="132"/>
      <c r="M316" s="105"/>
      <c r="N316" s="33">
        <f t="shared" si="126"/>
        <v>170.685714285714</v>
      </c>
      <c r="O316" s="133">
        <v>2823.25</v>
      </c>
      <c r="P316" s="20"/>
      <c r="Q316" s="20"/>
      <c r="R316" s="20"/>
      <c r="S316" s="20"/>
      <c r="T316" s="20"/>
      <c r="U316" s="20"/>
      <c r="W316" s="2"/>
    </row>
    <row r="317" ht="15" customHeight="1" spans="2:25">
      <c r="B317" s="127">
        <f t="shared" si="127"/>
        <v>7</v>
      </c>
      <c r="C317" s="134" t="s">
        <v>256</v>
      </c>
      <c r="D317" s="101">
        <f t="shared" si="124"/>
        <v>18.1</v>
      </c>
      <c r="E317" s="129"/>
      <c r="F317" s="129"/>
      <c r="G317" s="130"/>
      <c r="H317" s="102">
        <f t="shared" si="125"/>
        <v>18.1</v>
      </c>
      <c r="I317" s="131" t="s">
        <v>34</v>
      </c>
      <c r="J317" s="35">
        <v>1560</v>
      </c>
      <c r="K317" s="101">
        <v>116</v>
      </c>
      <c r="L317" s="132"/>
      <c r="M317" s="105"/>
      <c r="N317" s="33">
        <f t="shared" si="126"/>
        <v>113.790476190476</v>
      </c>
      <c r="O317" s="133">
        <v>2823.25</v>
      </c>
      <c r="P317" s="20"/>
      <c r="Q317" s="20"/>
      <c r="R317" s="20"/>
      <c r="S317" s="20"/>
      <c r="T317" s="20"/>
      <c r="U317" s="20"/>
      <c r="W317" s="2"/>
    </row>
    <row r="318" ht="15" customHeight="1" spans="2:25">
      <c r="B318" s="127">
        <f t="shared" si="127"/>
        <v>8</v>
      </c>
      <c r="C318" s="134" t="s">
        <v>257</v>
      </c>
      <c r="D318" s="101">
        <f t="shared" si="124"/>
        <v>4.99</v>
      </c>
      <c r="E318" s="129"/>
      <c r="F318" s="129"/>
      <c r="G318" s="130"/>
      <c r="H318" s="102">
        <f t="shared" si="125"/>
        <v>4.99</v>
      </c>
      <c r="I318" s="131" t="s">
        <v>49</v>
      </c>
      <c r="J318" s="35">
        <v>320</v>
      </c>
      <c r="K318" s="101">
        <v>156</v>
      </c>
      <c r="L318" s="132"/>
      <c r="M318" s="105"/>
      <c r="N318" s="33">
        <f t="shared" si="126"/>
        <v>153.028571428571</v>
      </c>
      <c r="O318" s="133">
        <v>2823.25</v>
      </c>
      <c r="P318" s="20"/>
      <c r="Q318" s="20"/>
      <c r="R318" s="20"/>
      <c r="S318" s="20"/>
      <c r="T318" s="20"/>
      <c r="U318" s="20"/>
      <c r="W318" s="2"/>
    </row>
    <row r="319" ht="15" customHeight="1" spans="2:25">
      <c r="B319" s="127">
        <f t="shared" si="127"/>
        <v>9</v>
      </c>
      <c r="C319" s="134" t="s">
        <v>258</v>
      </c>
      <c r="D319" s="101">
        <f t="shared" si="124"/>
        <v>0.36</v>
      </c>
      <c r="E319" s="129"/>
      <c r="F319" s="129"/>
      <c r="G319" s="130"/>
      <c r="H319" s="102">
        <f t="shared" si="125"/>
        <v>0.36</v>
      </c>
      <c r="I319" s="131" t="s">
        <v>34</v>
      </c>
      <c r="J319" s="35">
        <v>120</v>
      </c>
      <c r="K319" s="101">
        <v>30</v>
      </c>
      <c r="L319" s="132"/>
      <c r="M319" s="105"/>
      <c r="N319" s="33">
        <f t="shared" si="126"/>
        <v>29.4285714285714</v>
      </c>
      <c r="O319" s="133">
        <v>2823.25</v>
      </c>
      <c r="P319" s="20"/>
      <c r="Q319" s="20"/>
      <c r="R319" s="20"/>
      <c r="S319" s="20"/>
      <c r="T319" s="20"/>
      <c r="U319" s="20"/>
      <c r="W319" s="2"/>
    </row>
    <row r="320" ht="15" customHeight="1" spans="2:25">
      <c r="B320" s="127">
        <f t="shared" si="127"/>
        <v>10</v>
      </c>
      <c r="C320" s="134" t="s">
        <v>243</v>
      </c>
      <c r="D320" s="101">
        <f t="shared" si="124"/>
        <v>1.02</v>
      </c>
      <c r="E320" s="129"/>
      <c r="F320" s="129"/>
      <c r="G320" s="130"/>
      <c r="H320" s="102">
        <f t="shared" si="125"/>
        <v>1.02</v>
      </c>
      <c r="I320" s="131" t="s">
        <v>49</v>
      </c>
      <c r="J320" s="35">
        <v>70</v>
      </c>
      <c r="K320" s="101">
        <v>145</v>
      </c>
      <c r="L320" s="132"/>
      <c r="M320" s="105"/>
      <c r="N320" s="33">
        <f t="shared" si="126"/>
        <v>142.238095238095</v>
      </c>
      <c r="O320" s="133">
        <v>2823.25</v>
      </c>
      <c r="P320" s="20"/>
      <c r="Q320" s="20"/>
      <c r="R320" s="20"/>
      <c r="S320" s="20"/>
      <c r="T320" s="20"/>
      <c r="U320" s="20"/>
      <c r="W320" s="2"/>
    </row>
    <row r="321" ht="15" customHeight="1" spans="2:25">
      <c r="B321" s="96" t="s">
        <v>79</v>
      </c>
      <c r="C321" s="26" t="s">
        <v>259</v>
      </c>
      <c r="D321" s="27">
        <f>SUM(D322:D330)</f>
        <v>59.47</v>
      </c>
      <c r="E321" s="27">
        <f>SUM(E322:E330)</f>
        <v>0</v>
      </c>
      <c r="F321" s="27">
        <f>SUM(F322:F330)</f>
        <v>0</v>
      </c>
      <c r="G321" s="27">
        <f>SUM(G322:G330)</f>
        <v>0</v>
      </c>
      <c r="H321" s="27">
        <f>SUM(H322:H330)</f>
        <v>59.47</v>
      </c>
      <c r="I321" s="28" t="s">
        <v>17</v>
      </c>
      <c r="J321" s="27">
        <f>J259</f>
        <v>0.715</v>
      </c>
      <c r="K321" s="29">
        <f>H321*10000/J321</f>
        <v>831748.251748252</v>
      </c>
      <c r="L321" s="147"/>
      <c r="M321" s="148"/>
      <c r="N321" s="149"/>
      <c r="O321" s="149"/>
      <c r="P321" s="20"/>
      <c r="Q321" s="20"/>
      <c r="R321" s="20"/>
      <c r="S321" s="20"/>
      <c r="T321" s="20"/>
      <c r="U321" s="20"/>
      <c r="V321" s="34"/>
      <c r="W321" s="2"/>
    </row>
    <row r="322" ht="15" customHeight="1" spans="2:25">
      <c r="B322" s="150">
        <v>1</v>
      </c>
      <c r="C322" s="100" t="s">
        <v>260</v>
      </c>
      <c r="D322" s="101">
        <f t="shared" ref="D322:D330" si="128">ROUND(J322*K322/10000,2)</f>
        <v>35.75</v>
      </c>
      <c r="E322" s="101"/>
      <c r="F322" s="21"/>
      <c r="G322" s="103"/>
      <c r="H322" s="102">
        <f t="shared" ref="H322:H330" si="129">SUM(D322:G322)</f>
        <v>35.75</v>
      </c>
      <c r="I322" s="103" t="s">
        <v>34</v>
      </c>
      <c r="J322" s="35">
        <f>715</f>
        <v>715</v>
      </c>
      <c r="K322" s="101">
        <f>500000/1000</f>
        <v>500</v>
      </c>
      <c r="L322" s="23"/>
      <c r="M322" s="151"/>
      <c r="N322" s="33">
        <f t="shared" ref="N322:N330" si="130">K322/1.05*1.03</f>
        <v>490.47619047619</v>
      </c>
      <c r="O322" s="152">
        <v>72.58</v>
      </c>
      <c r="P322" s="20"/>
      <c r="Q322" s="20"/>
      <c r="R322" s="20"/>
      <c r="S322" s="20"/>
      <c r="T322" s="20"/>
      <c r="U322" s="20"/>
      <c r="W322" s="2"/>
    </row>
    <row r="323" ht="15" customHeight="1" spans="2:25">
      <c r="B323" s="150">
        <v>2</v>
      </c>
      <c r="C323" s="100" t="s">
        <v>261</v>
      </c>
      <c r="D323" s="101">
        <f t="shared" si="128"/>
        <v>0</v>
      </c>
      <c r="E323" s="101"/>
      <c r="F323" s="21"/>
      <c r="G323" s="103"/>
      <c r="H323" s="102">
        <f t="shared" si="129"/>
        <v>0</v>
      </c>
      <c r="I323" s="103" t="s">
        <v>49</v>
      </c>
      <c r="J323" s="35">
        <f t="shared" ref="J323:J328" si="131">SUM(P323:T323)</f>
        <v>0</v>
      </c>
      <c r="K323" s="101">
        <v>66111.6094285714</v>
      </c>
      <c r="L323" s="23"/>
      <c r="M323" s="151"/>
      <c r="N323" s="33">
        <f t="shared" si="130"/>
        <v>64852.340677551</v>
      </c>
      <c r="O323" s="152">
        <v>67395.33</v>
      </c>
      <c r="P323" s="20"/>
      <c r="Q323" s="20"/>
      <c r="R323" s="20"/>
      <c r="S323" s="20"/>
      <c r="T323" s="20"/>
      <c r="U323" s="20"/>
      <c r="W323" s="2"/>
    </row>
    <row r="324" ht="15" customHeight="1" spans="2:25">
      <c r="B324" s="150">
        <v>3</v>
      </c>
      <c r="C324" s="100" t="s">
        <v>262</v>
      </c>
      <c r="D324" s="101">
        <f t="shared" si="128"/>
        <v>0</v>
      </c>
      <c r="E324" s="101"/>
      <c r="F324" s="21"/>
      <c r="G324" s="103"/>
      <c r="H324" s="102">
        <f t="shared" si="129"/>
        <v>0</v>
      </c>
      <c r="I324" s="103" t="s">
        <v>49</v>
      </c>
      <c r="J324" s="35">
        <f t="shared" si="131"/>
        <v>0</v>
      </c>
      <c r="K324" s="101">
        <v>18836.2476190476</v>
      </c>
      <c r="L324" s="23"/>
      <c r="M324" s="151"/>
      <c r="N324" s="33">
        <f t="shared" si="130"/>
        <v>18477.4619501134</v>
      </c>
      <c r="O324" s="152">
        <v>19202</v>
      </c>
      <c r="P324" s="20"/>
      <c r="Q324" s="20"/>
      <c r="R324" s="20"/>
      <c r="S324" s="20"/>
      <c r="T324" s="20"/>
      <c r="U324" s="20"/>
      <c r="W324" s="2"/>
    </row>
    <row r="325" ht="15" customHeight="1" spans="2:25">
      <c r="B325" s="150">
        <v>4</v>
      </c>
      <c r="C325" s="100" t="s">
        <v>263</v>
      </c>
      <c r="D325" s="101">
        <f t="shared" si="128"/>
        <v>0</v>
      </c>
      <c r="E325" s="101"/>
      <c r="F325" s="21"/>
      <c r="G325" s="103"/>
      <c r="H325" s="102">
        <f t="shared" si="129"/>
        <v>0</v>
      </c>
      <c r="I325" s="103" t="s">
        <v>49</v>
      </c>
      <c r="J325" s="35">
        <f t="shared" si="131"/>
        <v>0</v>
      </c>
      <c r="K325" s="101">
        <v>16667.3619047619</v>
      </c>
      <c r="L325" s="23"/>
      <c r="M325" s="151"/>
      <c r="N325" s="33">
        <f t="shared" si="130"/>
        <v>16349.8883446712</v>
      </c>
      <c r="O325" s="152">
        <v>16991</v>
      </c>
      <c r="P325" s="20"/>
      <c r="Q325" s="20"/>
      <c r="R325" s="20"/>
      <c r="S325" s="20"/>
      <c r="T325" s="20"/>
      <c r="U325" s="20"/>
      <c r="W325" s="2"/>
    </row>
    <row r="326" ht="15" customHeight="1" spans="2:25">
      <c r="B326" s="150">
        <v>5</v>
      </c>
      <c r="C326" s="100" t="s">
        <v>264</v>
      </c>
      <c r="D326" s="101">
        <f t="shared" si="128"/>
        <v>0</v>
      </c>
      <c r="E326" s="101"/>
      <c r="F326" s="21"/>
      <c r="G326" s="103"/>
      <c r="H326" s="102">
        <f t="shared" si="129"/>
        <v>0</v>
      </c>
      <c r="I326" s="103" t="s">
        <v>49</v>
      </c>
      <c r="J326" s="35">
        <f t="shared" si="131"/>
        <v>0</v>
      </c>
      <c r="K326" s="101">
        <v>5232.4</v>
      </c>
      <c r="L326" s="23"/>
      <c r="M326" s="151"/>
      <c r="N326" s="33">
        <f t="shared" si="130"/>
        <v>5132.73523809524</v>
      </c>
      <c r="O326" s="152">
        <v>5334</v>
      </c>
      <c r="P326" s="20"/>
      <c r="Q326" s="20"/>
      <c r="R326" s="20"/>
      <c r="S326" s="20"/>
      <c r="T326" s="20"/>
      <c r="U326" s="20"/>
      <c r="W326" s="2"/>
    </row>
    <row r="327" ht="15" customHeight="1" spans="2:25">
      <c r="B327" s="150">
        <v>6</v>
      </c>
      <c r="C327" s="100" t="s">
        <v>265</v>
      </c>
      <c r="D327" s="101">
        <f t="shared" si="128"/>
        <v>0</v>
      </c>
      <c r="E327" s="101"/>
      <c r="F327" s="21"/>
      <c r="G327" s="103"/>
      <c r="H327" s="102">
        <f t="shared" si="129"/>
        <v>0</v>
      </c>
      <c r="I327" s="103" t="s">
        <v>49</v>
      </c>
      <c r="J327" s="35">
        <f t="shared" si="131"/>
        <v>0</v>
      </c>
      <c r="K327" s="101">
        <v>1422.62619047619</v>
      </c>
      <c r="L327" s="23"/>
      <c r="M327" s="151"/>
      <c r="N327" s="33">
        <f t="shared" si="130"/>
        <v>1395.52854875283</v>
      </c>
      <c r="O327" s="152">
        <v>1450.25</v>
      </c>
      <c r="P327" s="20"/>
      <c r="Q327" s="20"/>
      <c r="R327" s="20"/>
      <c r="S327" s="20"/>
      <c r="T327" s="20"/>
      <c r="U327" s="20"/>
      <c r="W327" s="2"/>
    </row>
    <row r="328" ht="15" customHeight="1" spans="2:25">
      <c r="B328" s="150">
        <v>7</v>
      </c>
      <c r="C328" s="40" t="s">
        <v>266</v>
      </c>
      <c r="D328" s="101">
        <f t="shared" si="128"/>
        <v>0</v>
      </c>
      <c r="E328" s="101"/>
      <c r="F328" s="35"/>
      <c r="G328" s="102"/>
      <c r="H328" s="102">
        <f t="shared" si="129"/>
        <v>0</v>
      </c>
      <c r="I328" s="103" t="s">
        <v>49</v>
      </c>
      <c r="J328" s="35">
        <f t="shared" si="131"/>
        <v>0</v>
      </c>
      <c r="K328" s="101">
        <v>1906.97142857143</v>
      </c>
      <c r="L328" s="153"/>
      <c r="M328" s="105"/>
      <c r="N328" s="33">
        <f t="shared" si="130"/>
        <v>1870.64816326531</v>
      </c>
      <c r="O328" s="133">
        <v>1944</v>
      </c>
      <c r="P328" s="20"/>
      <c r="Q328" s="20"/>
      <c r="R328" s="20"/>
      <c r="S328" s="20"/>
      <c r="T328" s="20"/>
      <c r="U328" s="20"/>
      <c r="W328" s="2"/>
    </row>
    <row r="329" ht="15" customHeight="1" spans="2:25">
      <c r="B329" s="150">
        <v>8</v>
      </c>
      <c r="C329" s="40" t="s">
        <v>267</v>
      </c>
      <c r="D329" s="101">
        <f t="shared" si="128"/>
        <v>0</v>
      </c>
      <c r="E329" s="101"/>
      <c r="F329" s="35"/>
      <c r="G329" s="102"/>
      <c r="H329" s="102">
        <f t="shared" si="129"/>
        <v>0</v>
      </c>
      <c r="I329" s="103" t="s">
        <v>34</v>
      </c>
      <c r="J329" s="35"/>
      <c r="K329" s="101">
        <v>387</v>
      </c>
      <c r="L329" s="153"/>
      <c r="M329" s="105"/>
      <c r="N329" s="33">
        <f t="shared" si="130"/>
        <v>379.628571428571</v>
      </c>
      <c r="O329" s="133">
        <v>283.16</v>
      </c>
      <c r="P329" s="20"/>
      <c r="Q329" s="20"/>
      <c r="R329" s="20"/>
      <c r="S329" s="20"/>
      <c r="T329" s="20"/>
      <c r="U329" s="20"/>
      <c r="W329" s="2"/>
    </row>
    <row r="330" ht="15" customHeight="1" spans="2:25">
      <c r="B330" s="150">
        <v>9</v>
      </c>
      <c r="C330" s="40" t="s">
        <v>268</v>
      </c>
      <c r="D330" s="101">
        <f t="shared" si="128"/>
        <v>23.72</v>
      </c>
      <c r="E330" s="101"/>
      <c r="F330" s="35"/>
      <c r="G330" s="102"/>
      <c r="H330" s="102">
        <f t="shared" si="129"/>
        <v>23.72</v>
      </c>
      <c r="I330" s="103" t="s">
        <v>34</v>
      </c>
      <c r="J330" s="35">
        <v>765</v>
      </c>
      <c r="K330" s="101">
        <v>310</v>
      </c>
      <c r="L330" s="153"/>
      <c r="M330" s="105"/>
      <c r="N330" s="33">
        <f t="shared" si="130"/>
        <v>304.095238095238</v>
      </c>
      <c r="O330" s="133">
        <v>283.16</v>
      </c>
      <c r="P330" s="20"/>
      <c r="Q330" s="20"/>
      <c r="R330" s="20"/>
      <c r="S330" s="20"/>
      <c r="T330" s="20"/>
      <c r="U330" s="20"/>
      <c r="W330" s="2"/>
    </row>
    <row r="331" ht="15" customHeight="1" spans="2:25">
      <c r="B331" s="154" t="s">
        <v>84</v>
      </c>
      <c r="C331" s="155" t="s">
        <v>269</v>
      </c>
      <c r="D331" s="45">
        <f t="shared" ref="D331:H331" si="132">SUM(D332:D332)</f>
        <v>0</v>
      </c>
      <c r="E331" s="45">
        <f t="shared" si="132"/>
        <v>0</v>
      </c>
      <c r="F331" s="45">
        <f t="shared" si="132"/>
        <v>0</v>
      </c>
      <c r="G331" s="45">
        <f t="shared" si="132"/>
        <v>0</v>
      </c>
      <c r="H331" s="45">
        <f t="shared" si="132"/>
        <v>0</v>
      </c>
      <c r="I331" s="28" t="s">
        <v>17</v>
      </c>
      <c r="J331" s="28">
        <f>J259</f>
        <v>0.715</v>
      </c>
      <c r="K331" s="29">
        <f>H331*10000/J331</f>
        <v>0</v>
      </c>
      <c r="L331" s="107"/>
      <c r="M331" s="105"/>
      <c r="N331" s="33"/>
      <c r="O331" s="33"/>
      <c r="P331" s="20"/>
      <c r="Q331" s="20"/>
      <c r="R331" s="20"/>
      <c r="S331" s="20"/>
      <c r="T331" s="20"/>
      <c r="U331" s="20"/>
      <c r="V331" s="20"/>
      <c r="W331" s="2"/>
    </row>
    <row r="332" ht="15" customHeight="1" spans="2:25">
      <c r="B332" s="150">
        <v>1</v>
      </c>
      <c r="C332" s="156" t="s">
        <v>269</v>
      </c>
      <c r="D332" s="45"/>
      <c r="E332" s="101">
        <f>ROUND(J332*K332/10000,2)</f>
        <v>0</v>
      </c>
      <c r="F332" s="21"/>
      <c r="G332" s="103"/>
      <c r="H332" s="102">
        <f t="shared" ref="H332:H336" si="133">SUM(D332:G332)</f>
        <v>0</v>
      </c>
      <c r="I332" s="35" t="s">
        <v>49</v>
      </c>
      <c r="J332" s="35">
        <v>0</v>
      </c>
      <c r="K332" s="101">
        <v>490476.19047619</v>
      </c>
      <c r="L332" s="107"/>
      <c r="M332" s="105"/>
      <c r="N332" s="33">
        <f>K332/1.05*1.03</f>
        <v>481133.786848072</v>
      </c>
      <c r="O332" s="133">
        <v>500000</v>
      </c>
      <c r="P332" s="20"/>
      <c r="Q332" s="20"/>
      <c r="R332" s="20"/>
      <c r="S332" s="20"/>
      <c r="T332" s="20"/>
      <c r="U332" s="20"/>
      <c r="V332" s="20"/>
      <c r="W332" s="2"/>
    </row>
    <row r="333" s="2" customFormat="1" ht="15" customHeight="1" spans="2:25">
      <c r="B333" s="96">
        <v>1.5</v>
      </c>
      <c r="C333" s="26" t="s">
        <v>181</v>
      </c>
      <c r="D333" s="27">
        <f>D334+D337+D359+D364+D369+D375+D382+D387+D398+D408</f>
        <v>848.05</v>
      </c>
      <c r="E333" s="27">
        <f>E334+E337+E359+E364+E369+E375+E382+E387+E398+E408</f>
        <v>0</v>
      </c>
      <c r="F333" s="27">
        <f>F334+F337+F359+F364+F369+F375+F382+F387+F398+F408</f>
        <v>0</v>
      </c>
      <c r="G333" s="27">
        <f>G334+G337+G359+G364+G369+G375+G382+G387+G398+G408</f>
        <v>0</v>
      </c>
      <c r="H333" s="27">
        <f>H334+H337+H359+H364+H369+H375+H382+H387+H398+H408</f>
        <v>848.05</v>
      </c>
      <c r="I333" s="28" t="s">
        <v>17</v>
      </c>
      <c r="J333" s="27">
        <f>T2</f>
        <v>0.375</v>
      </c>
      <c r="K333" s="29">
        <f>H333/J333*10000</f>
        <v>22614666.6666667</v>
      </c>
      <c r="L333" s="30"/>
      <c r="M333" s="97"/>
      <c r="N333" s="32"/>
      <c r="O333" s="32"/>
      <c r="P333" s="20"/>
      <c r="Q333" s="20"/>
      <c r="R333" s="20"/>
      <c r="S333" s="20"/>
      <c r="T333" s="20"/>
      <c r="U333" s="20"/>
      <c r="V333" s="34"/>
      <c r="X333" s="6"/>
      <c r="Y333" s="6"/>
    </row>
    <row r="334" ht="15" customHeight="1" spans="2:25">
      <c r="B334" s="96" t="s">
        <v>19</v>
      </c>
      <c r="C334" s="26" t="s">
        <v>20</v>
      </c>
      <c r="D334" s="27">
        <f>SUM(D335:D336)</f>
        <v>7.51</v>
      </c>
      <c r="E334" s="27">
        <f t="shared" ref="E334:G334" si="134">SUM(E335:E343)</f>
        <v>0</v>
      </c>
      <c r="F334" s="27">
        <f t="shared" si="134"/>
        <v>0</v>
      </c>
      <c r="G334" s="27">
        <f t="shared" si="134"/>
        <v>0</v>
      </c>
      <c r="H334" s="27">
        <f>SUM(H335:H336)</f>
        <v>7.51</v>
      </c>
      <c r="I334" s="28" t="s">
        <v>17</v>
      </c>
      <c r="J334" s="27">
        <f>J333</f>
        <v>0.375</v>
      </c>
      <c r="K334" s="29">
        <f>H334/J334*10000</f>
        <v>200266.666666667</v>
      </c>
      <c r="L334" s="98"/>
      <c r="M334" s="97"/>
      <c r="N334" s="32"/>
      <c r="O334" s="32"/>
      <c r="P334" s="20"/>
      <c r="Q334" s="20"/>
      <c r="R334" s="20"/>
      <c r="S334" s="20"/>
      <c r="T334" s="20"/>
      <c r="U334" s="20"/>
      <c r="V334" s="20"/>
      <c r="W334" s="2"/>
    </row>
    <row r="335" s="87" customFormat="1" ht="15" customHeight="1" spans="2:25">
      <c r="B335" s="99">
        <v>1</v>
      </c>
      <c r="C335" s="100" t="s">
        <v>197</v>
      </c>
      <c r="D335" s="101">
        <f t="shared" ref="D335:D358" si="135">ROUND(J335*K335/10000,2)</f>
        <v>6.98</v>
      </c>
      <c r="E335" s="35"/>
      <c r="F335" s="35"/>
      <c r="G335" s="102"/>
      <c r="H335" s="102">
        <f t="shared" si="133"/>
        <v>6.98</v>
      </c>
      <c r="I335" s="103" t="s">
        <v>22</v>
      </c>
      <c r="J335" s="35">
        <f>2064*0.3+5289*0.19</f>
        <v>1624.11</v>
      </c>
      <c r="K335" s="101">
        <v>43</v>
      </c>
      <c r="L335" s="160"/>
      <c r="M335" s="161"/>
      <c r="N335" s="33">
        <f>K335/1.05*1.03</f>
        <v>42.1809523809524</v>
      </c>
      <c r="O335" s="157">
        <v>14.05</v>
      </c>
      <c r="P335" s="158"/>
      <c r="Q335" s="158"/>
      <c r="R335" s="158"/>
      <c r="S335" s="158"/>
      <c r="T335" s="158"/>
      <c r="U335" s="158"/>
      <c r="V335" s="159"/>
      <c r="X335" s="159"/>
      <c r="Y335" s="159"/>
    </row>
    <row r="336" s="87" customFormat="1" ht="15" customHeight="1" spans="2:25">
      <c r="B336" s="99">
        <v>2</v>
      </c>
      <c r="C336" s="100" t="s">
        <v>198</v>
      </c>
      <c r="D336" s="101">
        <f t="shared" si="135"/>
        <v>0.53</v>
      </c>
      <c r="E336" s="21"/>
      <c r="F336" s="21"/>
      <c r="G336" s="103"/>
      <c r="H336" s="102">
        <f t="shared" si="133"/>
        <v>0.53</v>
      </c>
      <c r="I336" s="103" t="s">
        <v>27</v>
      </c>
      <c r="J336" s="35">
        <v>5289</v>
      </c>
      <c r="K336" s="101">
        <v>1</v>
      </c>
      <c r="L336" s="18"/>
      <c r="M336" s="105"/>
      <c r="N336" s="33">
        <f>K336/1.05*1.03</f>
        <v>0.980952380952381</v>
      </c>
      <c r="O336" s="157">
        <v>14.67</v>
      </c>
      <c r="P336" s="158"/>
      <c r="Q336" s="158"/>
      <c r="R336" s="158"/>
      <c r="S336" s="158"/>
      <c r="T336" s="158"/>
      <c r="U336" s="158"/>
      <c r="V336" s="159"/>
      <c r="X336" s="159"/>
      <c r="Y336" s="159"/>
    </row>
    <row r="337" ht="15" customHeight="1" spans="2:25">
      <c r="B337" s="96" t="s">
        <v>39</v>
      </c>
      <c r="C337" s="26" t="s">
        <v>40</v>
      </c>
      <c r="D337" s="27">
        <f>SUM(D338:D358)</f>
        <v>390.48</v>
      </c>
      <c r="E337" s="27">
        <f t="shared" ref="E337:G337" si="136">SUM(E338:E346)</f>
        <v>0</v>
      </c>
      <c r="F337" s="27">
        <f t="shared" si="136"/>
        <v>0</v>
      </c>
      <c r="G337" s="27">
        <f t="shared" si="136"/>
        <v>0</v>
      </c>
      <c r="H337" s="27">
        <f>SUM(H338:H358)</f>
        <v>390.48</v>
      </c>
      <c r="I337" s="28" t="s">
        <v>27</v>
      </c>
      <c r="J337" s="27">
        <f>J343+J353</f>
        <v>6832</v>
      </c>
      <c r="K337" s="29">
        <f>H337*10000/J337</f>
        <v>571.545667447307</v>
      </c>
      <c r="L337" s="107"/>
      <c r="M337" s="97"/>
      <c r="N337" s="32"/>
      <c r="O337" s="32"/>
      <c r="P337" s="20"/>
      <c r="Q337" s="20"/>
      <c r="R337" s="20"/>
      <c r="S337" s="20"/>
      <c r="T337" s="20"/>
      <c r="U337" s="20"/>
      <c r="V337" s="34"/>
      <c r="W337" s="2"/>
    </row>
    <row r="338" s="83" customFormat="1" ht="15" customHeight="1" spans="2:25">
      <c r="B338" s="108">
        <v>1</v>
      </c>
      <c r="C338" s="109" t="s">
        <v>199</v>
      </c>
      <c r="D338" s="110">
        <f t="shared" si="135"/>
        <v>29.56</v>
      </c>
      <c r="E338" s="111"/>
      <c r="F338" s="111"/>
      <c r="G338" s="112"/>
      <c r="H338" s="113">
        <f t="shared" ref="H338:H358" si="137">SUM(D338:G338)</f>
        <v>29.56</v>
      </c>
      <c r="I338" s="112" t="s">
        <v>27</v>
      </c>
      <c r="J338" s="114">
        <v>4768</v>
      </c>
      <c r="K338" s="110">
        <v>62</v>
      </c>
      <c r="L338" s="115"/>
      <c r="M338" s="116"/>
      <c r="N338" s="117">
        <f t="shared" ref="N338:N358" si="138">K338/1.05*1.03</f>
        <v>60.8190476190476</v>
      </c>
      <c r="O338" s="118">
        <v>47.411</v>
      </c>
      <c r="P338" s="119">
        <f>J338*0.62</f>
        <v>2956.16</v>
      </c>
      <c r="Q338" s="119"/>
      <c r="R338" s="119"/>
      <c r="S338" s="119"/>
      <c r="T338" s="119"/>
      <c r="U338" s="119"/>
      <c r="V338" s="120"/>
      <c r="X338" s="120"/>
      <c r="Y338" s="120"/>
    </row>
    <row r="339" s="83" customFormat="1" ht="15" customHeight="1" spans="2:25">
      <c r="B339" s="121">
        <f t="shared" ref="B339:B358" si="139">B338+1</f>
        <v>2</v>
      </c>
      <c r="C339" s="122" t="s">
        <v>200</v>
      </c>
      <c r="D339" s="110">
        <f t="shared" si="135"/>
        <v>6.19</v>
      </c>
      <c r="E339" s="123"/>
      <c r="F339" s="123"/>
      <c r="G339" s="124"/>
      <c r="H339" s="113">
        <f t="shared" si="137"/>
        <v>6.19</v>
      </c>
      <c r="I339" s="125" t="s">
        <v>27</v>
      </c>
      <c r="J339" s="114">
        <v>2064</v>
      </c>
      <c r="K339" s="110">
        <v>30</v>
      </c>
      <c r="L339" s="126"/>
      <c r="M339" s="116"/>
      <c r="N339" s="117">
        <f t="shared" si="138"/>
        <v>29.4285714285714</v>
      </c>
      <c r="O339" s="118">
        <v>83.38</v>
      </c>
      <c r="P339" s="119">
        <f>J339*0.36</f>
        <v>743.04</v>
      </c>
      <c r="Q339" s="119"/>
      <c r="R339" s="119"/>
      <c r="S339" s="119"/>
      <c r="T339" s="119"/>
      <c r="U339" s="119"/>
      <c r="V339" s="120"/>
      <c r="X339" s="120"/>
      <c r="Y339" s="120"/>
    </row>
    <row r="340" ht="15" customHeight="1" spans="2:25">
      <c r="B340" s="127">
        <f t="shared" si="139"/>
        <v>3</v>
      </c>
      <c r="C340" s="128" t="s">
        <v>201</v>
      </c>
      <c r="D340" s="101">
        <f t="shared" si="135"/>
        <v>0.92</v>
      </c>
      <c r="E340" s="129"/>
      <c r="F340" s="129"/>
      <c r="G340" s="130"/>
      <c r="H340" s="102">
        <f t="shared" si="137"/>
        <v>0.92</v>
      </c>
      <c r="I340" s="131" t="s">
        <v>34</v>
      </c>
      <c r="J340" s="35">
        <v>711</v>
      </c>
      <c r="K340" s="101">
        <v>13</v>
      </c>
      <c r="L340" s="132"/>
      <c r="M340" s="105"/>
      <c r="N340" s="33">
        <f t="shared" si="138"/>
        <v>12.752380952381</v>
      </c>
      <c r="O340" s="133">
        <v>78.762</v>
      </c>
      <c r="P340" s="20"/>
      <c r="Q340" s="20"/>
      <c r="R340" s="20"/>
      <c r="S340" s="20"/>
      <c r="T340" s="20"/>
      <c r="U340" s="20"/>
      <c r="W340" s="2"/>
    </row>
    <row r="341" ht="15" customHeight="1" spans="2:25">
      <c r="B341" s="127">
        <f t="shared" si="139"/>
        <v>4</v>
      </c>
      <c r="C341" s="128" t="s">
        <v>202</v>
      </c>
      <c r="D341" s="101">
        <f t="shared" si="135"/>
        <v>0.55</v>
      </c>
      <c r="E341" s="129"/>
      <c r="F341" s="129"/>
      <c r="G341" s="130"/>
      <c r="H341" s="102">
        <f t="shared" si="137"/>
        <v>0.55</v>
      </c>
      <c r="I341" s="131" t="s">
        <v>34</v>
      </c>
      <c r="J341" s="35">
        <v>687</v>
      </c>
      <c r="K341" s="101">
        <v>8</v>
      </c>
      <c r="L341" s="132"/>
      <c r="M341" s="105"/>
      <c r="N341" s="33">
        <f t="shared" si="138"/>
        <v>7.84761904761905</v>
      </c>
      <c r="O341" s="133">
        <v>3.434</v>
      </c>
      <c r="P341" s="20"/>
      <c r="Q341" s="20"/>
      <c r="R341" s="20"/>
      <c r="S341" s="20"/>
      <c r="T341" s="20"/>
      <c r="U341" s="20"/>
      <c r="W341" s="2"/>
    </row>
    <row r="342" ht="15" customHeight="1" spans="2:25">
      <c r="B342" s="127">
        <f t="shared" si="139"/>
        <v>5</v>
      </c>
      <c r="C342" s="128" t="s">
        <v>203</v>
      </c>
      <c r="D342" s="101">
        <f t="shared" si="135"/>
        <v>17.02</v>
      </c>
      <c r="E342" s="129"/>
      <c r="F342" s="129"/>
      <c r="G342" s="130"/>
      <c r="H342" s="102">
        <f t="shared" si="137"/>
        <v>17.02</v>
      </c>
      <c r="I342" s="131" t="s">
        <v>34</v>
      </c>
      <c r="J342" s="35">
        <v>740</v>
      </c>
      <c r="K342" s="101">
        <v>230</v>
      </c>
      <c r="L342" s="132"/>
      <c r="M342" s="105"/>
      <c r="N342" s="33">
        <f t="shared" si="138"/>
        <v>225.619047619048</v>
      </c>
      <c r="O342" s="133">
        <v>21.646</v>
      </c>
      <c r="P342" s="20"/>
      <c r="Q342" s="20"/>
      <c r="R342" s="20"/>
      <c r="S342" s="20"/>
      <c r="T342" s="20"/>
      <c r="U342" s="20"/>
      <c r="W342" s="2"/>
    </row>
    <row r="343" ht="15" customHeight="1" spans="2:25">
      <c r="B343" s="127">
        <f t="shared" si="139"/>
        <v>6</v>
      </c>
      <c r="C343" s="128" t="s">
        <v>204</v>
      </c>
      <c r="D343" s="101">
        <f t="shared" si="135"/>
        <v>50.06</v>
      </c>
      <c r="E343" s="129"/>
      <c r="F343" s="129"/>
      <c r="G343" s="130"/>
      <c r="H343" s="102">
        <f t="shared" si="137"/>
        <v>50.06</v>
      </c>
      <c r="I343" s="131" t="s">
        <v>27</v>
      </c>
      <c r="J343" s="35">
        <v>4768</v>
      </c>
      <c r="K343" s="101">
        <v>105</v>
      </c>
      <c r="L343" s="132"/>
      <c r="M343" s="105"/>
      <c r="N343" s="33">
        <f t="shared" si="138"/>
        <v>103</v>
      </c>
      <c r="O343" s="133">
        <v>6.15</v>
      </c>
      <c r="P343" s="20"/>
      <c r="Q343" s="20"/>
      <c r="R343" s="20"/>
      <c r="S343" s="20"/>
      <c r="T343" s="20"/>
      <c r="U343" s="20"/>
      <c r="W343" s="2"/>
    </row>
    <row r="344" ht="15" customHeight="1" spans="2:25">
      <c r="B344" s="127">
        <f t="shared" si="139"/>
        <v>7</v>
      </c>
      <c r="C344" s="128" t="s">
        <v>205</v>
      </c>
      <c r="D344" s="101">
        <f t="shared" si="135"/>
        <v>0</v>
      </c>
      <c r="E344" s="129"/>
      <c r="F344" s="129"/>
      <c r="G344" s="130"/>
      <c r="H344" s="102">
        <f t="shared" si="137"/>
        <v>0</v>
      </c>
      <c r="I344" s="131" t="s">
        <v>27</v>
      </c>
      <c r="J344" s="35">
        <v>0</v>
      </c>
      <c r="K344" s="101">
        <v>98</v>
      </c>
      <c r="L344" s="132"/>
      <c r="M344" s="105"/>
      <c r="N344" s="33">
        <f t="shared" si="138"/>
        <v>96.1333333333333</v>
      </c>
      <c r="O344" s="133">
        <v>99.778</v>
      </c>
      <c r="P344" s="20"/>
      <c r="Q344" s="20"/>
      <c r="R344" s="20"/>
      <c r="S344" s="20"/>
      <c r="T344" s="20"/>
      <c r="U344" s="20"/>
      <c r="W344" s="2"/>
    </row>
    <row r="345" ht="15" customHeight="1" spans="2:25">
      <c r="B345" s="127">
        <f t="shared" si="139"/>
        <v>8</v>
      </c>
      <c r="C345" s="128" t="s">
        <v>206</v>
      </c>
      <c r="D345" s="101">
        <f t="shared" si="135"/>
        <v>61.51</v>
      </c>
      <c r="E345" s="129"/>
      <c r="F345" s="129"/>
      <c r="G345" s="130"/>
      <c r="H345" s="102">
        <f t="shared" si="137"/>
        <v>61.51</v>
      </c>
      <c r="I345" s="131" t="s">
        <v>27</v>
      </c>
      <c r="J345" s="35">
        <v>4768</v>
      </c>
      <c r="K345" s="101">
        <v>129</v>
      </c>
      <c r="L345" s="132"/>
      <c r="M345" s="105"/>
      <c r="N345" s="33">
        <f t="shared" si="138"/>
        <v>126.542857142857</v>
      </c>
      <c r="O345" s="133">
        <v>95.083</v>
      </c>
      <c r="P345" s="20"/>
      <c r="Q345" s="20"/>
      <c r="R345" s="20"/>
      <c r="S345" s="20"/>
      <c r="T345" s="20"/>
      <c r="U345" s="20"/>
      <c r="W345" s="2"/>
    </row>
    <row r="346" ht="15" customHeight="1" spans="2:25">
      <c r="B346" s="127">
        <f t="shared" si="139"/>
        <v>9</v>
      </c>
      <c r="C346" s="128" t="s">
        <v>207</v>
      </c>
      <c r="D346" s="101">
        <f t="shared" si="135"/>
        <v>0</v>
      </c>
      <c r="E346" s="129"/>
      <c r="F346" s="129"/>
      <c r="G346" s="130"/>
      <c r="H346" s="102">
        <f t="shared" si="137"/>
        <v>0</v>
      </c>
      <c r="I346" s="131" t="s">
        <v>27</v>
      </c>
      <c r="J346" s="35">
        <f t="shared" ref="J346:J351" si="140">SUM(P346:T346)</f>
        <v>0</v>
      </c>
      <c r="K346" s="101">
        <v>132</v>
      </c>
      <c r="L346" s="132"/>
      <c r="M346" s="105"/>
      <c r="N346" s="33">
        <f t="shared" si="138"/>
        <v>129.485714285714</v>
      </c>
      <c r="O346" s="133">
        <v>37.543</v>
      </c>
      <c r="P346" s="20"/>
      <c r="Q346" s="20"/>
      <c r="R346" s="20"/>
      <c r="S346" s="20"/>
      <c r="T346" s="20"/>
      <c r="U346" s="20"/>
      <c r="W346" s="2"/>
    </row>
    <row r="347" ht="15" customHeight="1" spans="2:25">
      <c r="B347" s="127">
        <f t="shared" si="139"/>
        <v>10</v>
      </c>
      <c r="C347" s="128" t="s">
        <v>208</v>
      </c>
      <c r="D347" s="101">
        <f t="shared" si="135"/>
        <v>10.49</v>
      </c>
      <c r="E347" s="129"/>
      <c r="F347" s="129"/>
      <c r="G347" s="130"/>
      <c r="H347" s="102">
        <f t="shared" si="137"/>
        <v>10.49</v>
      </c>
      <c r="I347" s="131" t="s">
        <v>27</v>
      </c>
      <c r="J347" s="35">
        <v>4768</v>
      </c>
      <c r="K347" s="101">
        <v>22</v>
      </c>
      <c r="L347" s="132"/>
      <c r="M347" s="105"/>
      <c r="N347" s="33">
        <f t="shared" si="138"/>
        <v>21.5809523809524</v>
      </c>
      <c r="O347" s="133">
        <v>136.246</v>
      </c>
      <c r="P347" s="20"/>
      <c r="Q347" s="20"/>
      <c r="R347" s="20"/>
      <c r="S347" s="20"/>
      <c r="T347" s="20"/>
      <c r="U347" s="20"/>
      <c r="W347" s="2"/>
    </row>
    <row r="348" ht="15" customHeight="1" spans="2:25">
      <c r="B348" s="127">
        <f t="shared" si="139"/>
        <v>11</v>
      </c>
      <c r="C348" s="128" t="s">
        <v>209</v>
      </c>
      <c r="D348" s="101">
        <f t="shared" si="135"/>
        <v>50.06</v>
      </c>
      <c r="E348" s="129"/>
      <c r="F348" s="129"/>
      <c r="G348" s="130"/>
      <c r="H348" s="102">
        <f t="shared" si="137"/>
        <v>50.06</v>
      </c>
      <c r="I348" s="131" t="s">
        <v>27</v>
      </c>
      <c r="J348" s="35">
        <v>4768</v>
      </c>
      <c r="K348" s="101">
        <v>105</v>
      </c>
      <c r="L348" s="132"/>
      <c r="M348" s="105"/>
      <c r="N348" s="33">
        <f t="shared" si="138"/>
        <v>103</v>
      </c>
      <c r="O348" s="133">
        <v>99.778</v>
      </c>
      <c r="P348" s="20"/>
      <c r="Q348" s="20"/>
      <c r="R348" s="20"/>
      <c r="S348" s="20"/>
      <c r="T348" s="20"/>
      <c r="U348" s="20"/>
      <c r="W348" s="2"/>
    </row>
    <row r="349" ht="15" customHeight="1" spans="2:25">
      <c r="B349" s="127">
        <f t="shared" si="139"/>
        <v>12</v>
      </c>
      <c r="C349" s="128" t="s">
        <v>210</v>
      </c>
      <c r="D349" s="101">
        <f t="shared" si="135"/>
        <v>0</v>
      </c>
      <c r="E349" s="129"/>
      <c r="F349" s="129"/>
      <c r="G349" s="130"/>
      <c r="H349" s="102">
        <f t="shared" si="137"/>
        <v>0</v>
      </c>
      <c r="I349" s="131" t="s">
        <v>27</v>
      </c>
      <c r="J349" s="35">
        <f t="shared" si="140"/>
        <v>0</v>
      </c>
      <c r="K349" s="101">
        <v>99</v>
      </c>
      <c r="L349" s="132"/>
      <c r="M349" s="105"/>
      <c r="N349" s="33">
        <f t="shared" si="138"/>
        <v>97.1142857142857</v>
      </c>
      <c r="O349" s="133">
        <v>49.107</v>
      </c>
      <c r="P349" s="20"/>
      <c r="Q349" s="20"/>
      <c r="R349" s="20"/>
      <c r="S349" s="20"/>
      <c r="T349" s="20"/>
      <c r="U349" s="20"/>
      <c r="W349" s="2"/>
    </row>
    <row r="350" ht="15" customHeight="1" spans="2:25">
      <c r="B350" s="127">
        <f t="shared" si="139"/>
        <v>13</v>
      </c>
      <c r="C350" s="128" t="s">
        <v>211</v>
      </c>
      <c r="D350" s="101">
        <f t="shared" si="135"/>
        <v>46.01</v>
      </c>
      <c r="E350" s="129"/>
      <c r="F350" s="129"/>
      <c r="G350" s="130"/>
      <c r="H350" s="102">
        <f t="shared" si="137"/>
        <v>46.01</v>
      </c>
      <c r="I350" s="131" t="s">
        <v>27</v>
      </c>
      <c r="J350" s="35">
        <v>5056</v>
      </c>
      <c r="K350" s="101">
        <v>91</v>
      </c>
      <c r="L350" s="132"/>
      <c r="M350" s="105"/>
      <c r="N350" s="33">
        <f t="shared" si="138"/>
        <v>89.2666666666667</v>
      </c>
      <c r="O350" s="133">
        <v>279.035</v>
      </c>
      <c r="P350" s="20"/>
      <c r="Q350" s="20"/>
      <c r="R350" s="20"/>
      <c r="S350" s="20"/>
      <c r="T350" s="20"/>
      <c r="U350" s="20"/>
      <c r="W350" s="2"/>
    </row>
    <row r="351" s="87" customFormat="1" ht="15" customHeight="1" spans="2:25">
      <c r="B351" s="127">
        <f t="shared" si="139"/>
        <v>14</v>
      </c>
      <c r="C351" s="128" t="s">
        <v>212</v>
      </c>
      <c r="D351" s="101">
        <f t="shared" si="135"/>
        <v>0</v>
      </c>
      <c r="E351" s="129"/>
      <c r="F351" s="129"/>
      <c r="G351" s="130"/>
      <c r="H351" s="102">
        <f t="shared" si="137"/>
        <v>0</v>
      </c>
      <c r="I351" s="131" t="s">
        <v>27</v>
      </c>
      <c r="J351" s="35">
        <f t="shared" si="140"/>
        <v>0</v>
      </c>
      <c r="K351" s="101">
        <v>56</v>
      </c>
      <c r="L351" s="163"/>
      <c r="M351" s="161"/>
      <c r="N351" s="33">
        <f t="shared" si="138"/>
        <v>54.9333333333333</v>
      </c>
      <c r="O351" s="162">
        <v>6770.562</v>
      </c>
      <c r="P351" s="158"/>
      <c r="Q351" s="158"/>
      <c r="R351" s="158"/>
      <c r="S351" s="158"/>
      <c r="T351" s="158"/>
      <c r="U351" s="158"/>
      <c r="V351" s="159"/>
      <c r="X351" s="159"/>
      <c r="Y351" s="159"/>
    </row>
    <row r="352" s="87" customFormat="1" ht="15" customHeight="1" spans="2:25">
      <c r="B352" s="127">
        <f t="shared" si="139"/>
        <v>15</v>
      </c>
      <c r="C352" s="128" t="s">
        <v>213</v>
      </c>
      <c r="D352" s="101">
        <f t="shared" si="135"/>
        <v>22.74</v>
      </c>
      <c r="E352" s="129"/>
      <c r="F352" s="129"/>
      <c r="G352" s="130"/>
      <c r="H352" s="102">
        <f t="shared" si="137"/>
        <v>22.74</v>
      </c>
      <c r="I352" s="131" t="s">
        <v>27</v>
      </c>
      <c r="J352" s="35">
        <v>5289</v>
      </c>
      <c r="K352" s="101">
        <v>43</v>
      </c>
      <c r="L352" s="160"/>
      <c r="M352" s="161"/>
      <c r="N352" s="33">
        <f t="shared" si="138"/>
        <v>42.1809523809524</v>
      </c>
      <c r="O352" s="162">
        <v>7029.07</v>
      </c>
      <c r="P352" s="158"/>
      <c r="Q352" s="158"/>
      <c r="R352" s="158"/>
      <c r="S352" s="158"/>
      <c r="T352" s="158"/>
      <c r="U352" s="158"/>
      <c r="V352" s="159"/>
      <c r="X352" s="159"/>
      <c r="Y352" s="159"/>
    </row>
    <row r="353" s="87" customFormat="1" ht="15" customHeight="1" spans="2:25">
      <c r="B353" s="127">
        <f t="shared" si="139"/>
        <v>16</v>
      </c>
      <c r="C353" s="134" t="s">
        <v>214</v>
      </c>
      <c r="D353" s="101">
        <f t="shared" si="135"/>
        <v>59.24</v>
      </c>
      <c r="E353" s="129"/>
      <c r="F353" s="129"/>
      <c r="G353" s="130"/>
      <c r="H353" s="102">
        <f t="shared" si="137"/>
        <v>59.24</v>
      </c>
      <c r="I353" s="131" t="s">
        <v>27</v>
      </c>
      <c r="J353" s="35">
        <v>2064</v>
      </c>
      <c r="K353" s="101">
        <v>287</v>
      </c>
      <c r="L353" s="163"/>
      <c r="M353" s="161"/>
      <c r="N353" s="33">
        <f t="shared" si="138"/>
        <v>281.533333333333</v>
      </c>
      <c r="O353" s="162">
        <v>1</v>
      </c>
      <c r="P353" s="158"/>
      <c r="Q353" s="158"/>
      <c r="R353" s="158"/>
      <c r="S353" s="158"/>
      <c r="T353" s="158"/>
      <c r="U353" s="158"/>
      <c r="V353" s="159"/>
      <c r="X353" s="159"/>
      <c r="Y353" s="159"/>
    </row>
    <row r="354" ht="15" customHeight="1" spans="2:25">
      <c r="B354" s="127">
        <f t="shared" si="139"/>
        <v>17</v>
      </c>
      <c r="C354" s="128" t="s">
        <v>215</v>
      </c>
      <c r="D354" s="101">
        <f t="shared" si="135"/>
        <v>19.27</v>
      </c>
      <c r="E354" s="129"/>
      <c r="F354" s="129"/>
      <c r="G354" s="130"/>
      <c r="H354" s="102">
        <f t="shared" si="137"/>
        <v>19.27</v>
      </c>
      <c r="I354" s="131" t="s">
        <v>34</v>
      </c>
      <c r="J354" s="35">
        <v>711</v>
      </c>
      <c r="K354" s="101">
        <v>271</v>
      </c>
      <c r="L354" s="132"/>
      <c r="M354" s="105"/>
      <c r="N354" s="33">
        <f t="shared" si="138"/>
        <v>265.838095238095</v>
      </c>
      <c r="O354" s="133">
        <v>161.403</v>
      </c>
      <c r="P354" s="20"/>
      <c r="Q354" s="20"/>
      <c r="R354" s="20"/>
      <c r="S354" s="20"/>
      <c r="T354" s="20"/>
      <c r="U354" s="20"/>
      <c r="W354" s="2"/>
    </row>
    <row r="355" ht="15" customHeight="1" spans="2:25">
      <c r="B355" s="127">
        <f t="shared" si="139"/>
        <v>18</v>
      </c>
      <c r="C355" s="128" t="s">
        <v>216</v>
      </c>
      <c r="D355" s="101">
        <f t="shared" si="135"/>
        <v>5.02</v>
      </c>
      <c r="E355" s="129"/>
      <c r="F355" s="129"/>
      <c r="G355" s="130"/>
      <c r="H355" s="102">
        <f t="shared" si="137"/>
        <v>5.02</v>
      </c>
      <c r="I355" s="131" t="s">
        <v>34</v>
      </c>
      <c r="J355" s="35">
        <v>687</v>
      </c>
      <c r="K355" s="101">
        <v>73</v>
      </c>
      <c r="L355" s="132"/>
      <c r="M355" s="105"/>
      <c r="N355" s="33">
        <f t="shared" si="138"/>
        <v>71.6095238095238</v>
      </c>
      <c r="O355" s="133">
        <v>74.491</v>
      </c>
      <c r="P355" s="20"/>
      <c r="Q355" s="20"/>
      <c r="R355" s="20"/>
      <c r="S355" s="20"/>
      <c r="T355" s="20"/>
      <c r="U355" s="20"/>
      <c r="W355" s="2"/>
    </row>
    <row r="356" ht="15" customHeight="1" spans="2:25">
      <c r="B356" s="127">
        <f t="shared" si="139"/>
        <v>19</v>
      </c>
      <c r="C356" s="134" t="s">
        <v>217</v>
      </c>
      <c r="D356" s="101">
        <f t="shared" si="135"/>
        <v>0</v>
      </c>
      <c r="E356" s="129"/>
      <c r="F356" s="129"/>
      <c r="G356" s="130"/>
      <c r="H356" s="102">
        <f t="shared" si="137"/>
        <v>0</v>
      </c>
      <c r="I356" s="131" t="s">
        <v>119</v>
      </c>
      <c r="J356" s="35">
        <v>0</v>
      </c>
      <c r="K356" s="101">
        <v>1815</v>
      </c>
      <c r="L356" s="132"/>
      <c r="M356" s="105"/>
      <c r="N356" s="33">
        <f t="shared" si="138"/>
        <v>1780.42857142857</v>
      </c>
      <c r="O356" s="133">
        <v>280.33</v>
      </c>
      <c r="P356" s="20"/>
      <c r="Q356" s="20"/>
      <c r="R356" s="20"/>
      <c r="S356" s="20"/>
      <c r="T356" s="20"/>
      <c r="U356" s="20"/>
      <c r="W356" s="2"/>
    </row>
    <row r="357" ht="15" customHeight="1" spans="2:25">
      <c r="B357" s="127">
        <f t="shared" si="139"/>
        <v>20</v>
      </c>
      <c r="C357" s="134" t="s">
        <v>218</v>
      </c>
      <c r="D357" s="101">
        <f t="shared" si="135"/>
        <v>5.57</v>
      </c>
      <c r="E357" s="129"/>
      <c r="F357" s="129"/>
      <c r="G357" s="130"/>
      <c r="H357" s="102">
        <f t="shared" si="137"/>
        <v>5.57</v>
      </c>
      <c r="I357" s="131" t="s">
        <v>119</v>
      </c>
      <c r="J357" s="35">
        <v>20</v>
      </c>
      <c r="K357" s="101">
        <v>2783</v>
      </c>
      <c r="L357" s="132"/>
      <c r="M357" s="105"/>
      <c r="N357" s="33">
        <f t="shared" si="138"/>
        <v>2729.99047619048</v>
      </c>
      <c r="O357" s="133">
        <v>1838</v>
      </c>
      <c r="P357" s="20"/>
      <c r="Q357" s="20"/>
      <c r="R357" s="20"/>
      <c r="S357" s="20"/>
      <c r="T357" s="20"/>
      <c r="U357" s="20"/>
      <c r="W357" s="2"/>
    </row>
    <row r="358" ht="15" customHeight="1" spans="2:25">
      <c r="B358" s="127">
        <f t="shared" si="139"/>
        <v>21</v>
      </c>
      <c r="C358" s="134" t="s">
        <v>219</v>
      </c>
      <c r="D358" s="101">
        <f t="shared" si="135"/>
        <v>6.27</v>
      </c>
      <c r="E358" s="129"/>
      <c r="F358" s="129"/>
      <c r="G358" s="130"/>
      <c r="H358" s="102">
        <f t="shared" si="137"/>
        <v>6.27</v>
      </c>
      <c r="I358" s="131" t="s">
        <v>119</v>
      </c>
      <c r="J358" s="35">
        <v>25</v>
      </c>
      <c r="K358" s="101">
        <v>2506</v>
      </c>
      <c r="L358" s="132"/>
      <c r="M358" s="105"/>
      <c r="N358" s="33">
        <f t="shared" si="138"/>
        <v>2458.26666666667</v>
      </c>
      <c r="O358" s="133">
        <v>2823.25</v>
      </c>
      <c r="P358" s="20"/>
      <c r="Q358" s="20"/>
      <c r="R358" s="20"/>
      <c r="S358" s="20"/>
      <c r="T358" s="20"/>
      <c r="U358" s="20"/>
      <c r="W358" s="2"/>
    </row>
    <row r="359" s="83" customFormat="1" ht="15" customHeight="1" spans="2:25">
      <c r="B359" s="135" t="s">
        <v>45</v>
      </c>
      <c r="C359" s="136" t="s">
        <v>68</v>
      </c>
      <c r="D359" s="137">
        <f>SUM(D360:D363)</f>
        <v>0</v>
      </c>
      <c r="E359" s="137">
        <f>SUM(E360:E363)</f>
        <v>0</v>
      </c>
      <c r="F359" s="137">
        <f>SUM(F360:F363)</f>
        <v>0</v>
      </c>
      <c r="G359" s="137">
        <f>SUM(G360:G363)</f>
        <v>0</v>
      </c>
      <c r="H359" s="137">
        <f>SUM(H360:H363)</f>
        <v>0</v>
      </c>
      <c r="I359" s="138" t="s">
        <v>17</v>
      </c>
      <c r="J359" s="137">
        <f>J333</f>
        <v>0.375</v>
      </c>
      <c r="K359" s="139">
        <f>H359/J359*10000</f>
        <v>0</v>
      </c>
      <c r="L359" s="140"/>
      <c r="M359" s="141"/>
      <c r="N359" s="142"/>
      <c r="O359" s="142"/>
      <c r="P359" s="119"/>
      <c r="Q359" s="119"/>
      <c r="R359" s="119"/>
      <c r="S359" s="119"/>
      <c r="T359" s="119"/>
      <c r="U359" s="119"/>
      <c r="V359" s="143"/>
      <c r="X359" s="120"/>
      <c r="Y359" s="120"/>
    </row>
    <row r="360" s="83" customFormat="1" ht="15" customHeight="1" spans="2:25">
      <c r="B360" s="121">
        <v>1</v>
      </c>
      <c r="C360" s="144" t="s">
        <v>300</v>
      </c>
      <c r="D360" s="110">
        <f>ROUND(J360*K360/10000,2)</f>
        <v>0</v>
      </c>
      <c r="E360" s="123"/>
      <c r="F360" s="123"/>
      <c r="G360" s="124"/>
      <c r="H360" s="113">
        <f>SUM(D360:G360)</f>
        <v>0</v>
      </c>
      <c r="I360" s="125" t="s">
        <v>34</v>
      </c>
      <c r="J360" s="114">
        <v>0</v>
      </c>
      <c r="K360" s="110">
        <f>(7806+8984)/2</f>
        <v>8395</v>
      </c>
      <c r="L360" s="126"/>
      <c r="M360" s="116"/>
      <c r="N360" s="117">
        <f t="shared" ref="N360:N365" si="141">K360/1.05*1.03</f>
        <v>8235.09523809524</v>
      </c>
      <c r="O360" s="118">
        <v>1109.474</v>
      </c>
      <c r="P360" s="119"/>
      <c r="Q360" s="119"/>
      <c r="R360" s="119"/>
      <c r="S360" s="119"/>
      <c r="T360" s="119"/>
      <c r="U360" s="119"/>
      <c r="V360" s="120"/>
      <c r="X360" s="120"/>
      <c r="Y360" s="120"/>
    </row>
    <row r="361" s="83" customFormat="1" ht="15" customHeight="1" spans="2:25">
      <c r="B361" s="121">
        <v>2</v>
      </c>
      <c r="C361" s="144" t="s">
        <v>224</v>
      </c>
      <c r="D361" s="110">
        <f>ROUND(J361*K361/10000,2)</f>
        <v>0</v>
      </c>
      <c r="E361" s="123"/>
      <c r="F361" s="123"/>
      <c r="G361" s="124"/>
      <c r="H361" s="113">
        <f>SUM(D361:G361)</f>
        <v>0</v>
      </c>
      <c r="I361" s="125" t="s">
        <v>34</v>
      </c>
      <c r="J361" s="114">
        <v>0</v>
      </c>
      <c r="K361" s="110">
        <v>723</v>
      </c>
      <c r="L361" s="126"/>
      <c r="M361" s="116"/>
      <c r="N361" s="117">
        <f t="shared" si="141"/>
        <v>709.228571428571</v>
      </c>
      <c r="O361" s="118">
        <v>2842.898</v>
      </c>
      <c r="P361" s="119"/>
      <c r="Q361" s="119"/>
      <c r="R361" s="119"/>
      <c r="S361" s="119"/>
      <c r="T361" s="119"/>
      <c r="U361" s="119"/>
      <c r="V361" s="120"/>
      <c r="X361" s="120"/>
      <c r="Y361" s="120"/>
    </row>
    <row r="362" s="83" customFormat="1" ht="15" customHeight="1" spans="2:25">
      <c r="B362" s="121">
        <v>3</v>
      </c>
      <c r="C362" s="144" t="s">
        <v>272</v>
      </c>
      <c r="D362" s="110">
        <f>ROUND(J362*K362/10000,2)</f>
        <v>0</v>
      </c>
      <c r="E362" s="123"/>
      <c r="F362" s="123"/>
      <c r="G362" s="124"/>
      <c r="H362" s="113">
        <f>SUM(D362:G362)</f>
        <v>0</v>
      </c>
      <c r="I362" s="125" t="s">
        <v>119</v>
      </c>
      <c r="J362" s="114">
        <v>0</v>
      </c>
      <c r="K362" s="110">
        <v>16000</v>
      </c>
      <c r="L362" s="126"/>
      <c r="M362" s="116"/>
      <c r="N362" s="117">
        <f t="shared" si="141"/>
        <v>15695.2380952381</v>
      </c>
      <c r="O362" s="118">
        <v>1642.779</v>
      </c>
      <c r="P362" s="119"/>
      <c r="Q362" s="119"/>
      <c r="R362" s="119"/>
      <c r="S362" s="119"/>
      <c r="T362" s="119"/>
      <c r="U362" s="119"/>
      <c r="V362" s="120"/>
      <c r="X362" s="120"/>
      <c r="Y362" s="120"/>
    </row>
    <row r="363" s="83" customFormat="1" ht="15" customHeight="1" spans="2:25">
      <c r="B363" s="121">
        <v>4</v>
      </c>
      <c r="C363" s="144" t="s">
        <v>228</v>
      </c>
      <c r="D363" s="110">
        <f>ROUND(J363*K363/10000,2)</f>
        <v>0</v>
      </c>
      <c r="E363" s="123"/>
      <c r="F363" s="123"/>
      <c r="G363" s="124"/>
      <c r="H363" s="113">
        <f>SUM(D363:G363)</f>
        <v>0</v>
      </c>
      <c r="I363" s="125" t="s">
        <v>119</v>
      </c>
      <c r="J363" s="114">
        <v>0</v>
      </c>
      <c r="K363" s="110">
        <v>1600</v>
      </c>
      <c r="L363" s="126"/>
      <c r="M363" s="116"/>
      <c r="N363" s="117">
        <f t="shared" si="141"/>
        <v>1569.52380952381</v>
      </c>
      <c r="O363" s="118">
        <v>237.666</v>
      </c>
      <c r="P363" s="119"/>
      <c r="Q363" s="119"/>
      <c r="R363" s="119"/>
      <c r="S363" s="119"/>
      <c r="T363" s="119"/>
      <c r="U363" s="119"/>
      <c r="V363" s="120"/>
      <c r="X363" s="120"/>
      <c r="Y363" s="120"/>
    </row>
    <row r="364" s="83" customFormat="1" ht="15" customHeight="1" spans="2:25">
      <c r="B364" s="135" t="s">
        <v>59</v>
      </c>
      <c r="C364" s="136" t="s">
        <v>73</v>
      </c>
      <c r="D364" s="137">
        <f>SUM(D365:D368)</f>
        <v>134.52</v>
      </c>
      <c r="E364" s="137">
        <f>SUM(E365:E368)</f>
        <v>0</v>
      </c>
      <c r="F364" s="137">
        <f>SUM(F365:F368)</f>
        <v>0</v>
      </c>
      <c r="G364" s="137">
        <f>SUM(G365:G368)</f>
        <v>0</v>
      </c>
      <c r="H364" s="137">
        <f>SUM(H365:H368)</f>
        <v>134.52</v>
      </c>
      <c r="I364" s="138" t="s">
        <v>17</v>
      </c>
      <c r="J364" s="137">
        <f>J359</f>
        <v>0.375</v>
      </c>
      <c r="K364" s="139">
        <f>H364/J364*10000</f>
        <v>3587200</v>
      </c>
      <c r="L364" s="140"/>
      <c r="M364" s="116"/>
      <c r="N364" s="117">
        <f t="shared" si="141"/>
        <v>3518872.38095238</v>
      </c>
      <c r="O364" s="118">
        <v>375.908</v>
      </c>
      <c r="P364" s="119"/>
      <c r="Q364" s="119"/>
      <c r="R364" s="119"/>
      <c r="S364" s="119"/>
      <c r="T364" s="119"/>
      <c r="U364" s="119"/>
      <c r="V364" s="120"/>
      <c r="X364" s="120"/>
      <c r="Y364" s="120"/>
    </row>
    <row r="365" s="83" customFormat="1" ht="15" customHeight="1" spans="2:25">
      <c r="B365" s="121">
        <v>1</v>
      </c>
      <c r="C365" s="144" t="s">
        <v>229</v>
      </c>
      <c r="D365" s="110">
        <f>ROUND(J365*K365/10000,2)</f>
        <v>121.77</v>
      </c>
      <c r="E365" s="123"/>
      <c r="F365" s="123"/>
      <c r="G365" s="124"/>
      <c r="H365" s="113">
        <f>SUM(D365:G365)</f>
        <v>121.77</v>
      </c>
      <c r="I365" s="125" t="s">
        <v>34</v>
      </c>
      <c r="J365" s="114">
        <f>400+50</f>
        <v>450</v>
      </c>
      <c r="K365" s="110">
        <v>2706</v>
      </c>
      <c r="L365" s="126"/>
      <c r="M365" s="116"/>
      <c r="N365" s="117">
        <f t="shared" si="141"/>
        <v>2654.45714285714</v>
      </c>
      <c r="O365" s="118">
        <v>1832.071</v>
      </c>
      <c r="P365" s="119"/>
      <c r="Q365" s="119"/>
      <c r="R365" s="119"/>
      <c r="S365" s="119"/>
      <c r="T365" s="119"/>
      <c r="U365" s="119"/>
      <c r="V365" s="120"/>
      <c r="X365" s="120"/>
      <c r="Y365" s="120"/>
    </row>
    <row r="366" s="83" customFormat="1" ht="15" customHeight="1" spans="2:25">
      <c r="B366" s="121">
        <v>2</v>
      </c>
      <c r="C366" s="144" t="s">
        <v>232</v>
      </c>
      <c r="D366" s="110">
        <f>ROUND(J366*K366/10000,2)</f>
        <v>12.75</v>
      </c>
      <c r="E366" s="123"/>
      <c r="F366" s="123"/>
      <c r="G366" s="124"/>
      <c r="H366" s="113">
        <f>SUM(D366:G366)</f>
        <v>12.75</v>
      </c>
      <c r="I366" s="125" t="s">
        <v>119</v>
      </c>
      <c r="J366" s="114">
        <v>15</v>
      </c>
      <c r="K366" s="110">
        <v>8500</v>
      </c>
      <c r="L366" s="126"/>
      <c r="M366" s="116"/>
      <c r="N366" s="117">
        <f t="shared" ref="N366:N368" si="142">K366/1.05*1.03</f>
        <v>8338.09523809524</v>
      </c>
      <c r="O366" s="118">
        <v>13041.4414414414</v>
      </c>
      <c r="P366" s="119"/>
      <c r="Q366" s="119"/>
      <c r="R366" s="119"/>
      <c r="S366" s="119"/>
      <c r="T366" s="119"/>
      <c r="U366" s="119"/>
      <c r="V366" s="120"/>
      <c r="X366" s="120"/>
      <c r="Y366" s="120"/>
    </row>
    <row r="367" s="83" customFormat="1" ht="15" customHeight="1" spans="2:25">
      <c r="B367" s="121">
        <v>3</v>
      </c>
      <c r="C367" s="144" t="s">
        <v>299</v>
      </c>
      <c r="D367" s="110">
        <f>ROUND(J367*K367/10000,2)</f>
        <v>0</v>
      </c>
      <c r="E367" s="123"/>
      <c r="F367" s="123"/>
      <c r="G367" s="124"/>
      <c r="H367" s="113">
        <f>SUM(D367:G367)</f>
        <v>0</v>
      </c>
      <c r="I367" s="125" t="s">
        <v>276</v>
      </c>
      <c r="J367" s="114">
        <v>0</v>
      </c>
      <c r="K367" s="110">
        <v>5286</v>
      </c>
      <c r="L367" s="126"/>
      <c r="M367" s="116"/>
      <c r="N367" s="117">
        <f t="shared" si="142"/>
        <v>5185.31428571429</v>
      </c>
      <c r="O367" s="118">
        <v>1046.23</v>
      </c>
      <c r="P367" s="119"/>
      <c r="Q367" s="119"/>
      <c r="R367" s="119"/>
      <c r="S367" s="119"/>
      <c r="T367" s="119"/>
      <c r="U367" s="119"/>
      <c r="V367" s="120"/>
      <c r="X367" s="120"/>
      <c r="Y367" s="120"/>
    </row>
    <row r="368" s="83" customFormat="1" ht="15" customHeight="1" spans="2:25">
      <c r="B368" s="121">
        <v>4</v>
      </c>
      <c r="C368" s="144" t="s">
        <v>301</v>
      </c>
      <c r="D368" s="110">
        <f>ROUND(J368*K368/10000,2)</f>
        <v>0</v>
      </c>
      <c r="E368" s="123"/>
      <c r="F368" s="123"/>
      <c r="G368" s="124"/>
      <c r="H368" s="113">
        <f>SUM(D368:G368)</f>
        <v>0</v>
      </c>
      <c r="I368" s="125" t="s">
        <v>34</v>
      </c>
      <c r="J368" s="114">
        <v>0</v>
      </c>
      <c r="K368" s="110">
        <v>3736</v>
      </c>
      <c r="L368" s="126"/>
      <c r="M368" s="116"/>
      <c r="N368" s="117">
        <f t="shared" si="142"/>
        <v>3664.8380952381</v>
      </c>
      <c r="O368" s="118">
        <v>1518.193</v>
      </c>
      <c r="P368" s="119"/>
      <c r="Q368" s="119"/>
      <c r="R368" s="119"/>
      <c r="S368" s="119"/>
      <c r="T368" s="119"/>
      <c r="U368" s="119"/>
      <c r="V368" s="120"/>
      <c r="X368" s="120"/>
      <c r="Y368" s="120"/>
    </row>
    <row r="369" s="83" customFormat="1" ht="15" customHeight="1" spans="1:25">
      <c r="B369" s="135" t="s">
        <v>63</v>
      </c>
      <c r="C369" s="136" t="s">
        <v>64</v>
      </c>
      <c r="D369" s="137">
        <f t="shared" ref="D369:H369" si="143">SUM(D370:D374)</f>
        <v>35.12</v>
      </c>
      <c r="E369" s="137">
        <f t="shared" si="143"/>
        <v>0</v>
      </c>
      <c r="F369" s="137">
        <f t="shared" si="143"/>
        <v>0</v>
      </c>
      <c r="G369" s="137">
        <f t="shared" si="143"/>
        <v>0</v>
      </c>
      <c r="H369" s="137">
        <f t="shared" si="143"/>
        <v>35.12</v>
      </c>
      <c r="I369" s="138" t="s">
        <v>17</v>
      </c>
      <c r="J369" s="137">
        <f>J364</f>
        <v>0.375</v>
      </c>
      <c r="K369" s="139">
        <f>H369/J369*10000</f>
        <v>936533.333333333</v>
      </c>
      <c r="L369" s="140"/>
      <c r="M369" s="116"/>
      <c r="N369" s="117"/>
      <c r="O369" s="118"/>
      <c r="P369" s="119"/>
      <c r="Q369" s="119"/>
      <c r="R369" s="119"/>
      <c r="S369" s="119"/>
      <c r="T369" s="119"/>
      <c r="U369" s="119"/>
      <c r="V369" s="120"/>
      <c r="X369" s="120"/>
      <c r="Y369" s="120"/>
    </row>
    <row r="370" s="2" customFormat="1" ht="15" customHeight="1" spans="1:25">
      <c r="A370" s="83"/>
      <c r="B370" s="127">
        <v>1</v>
      </c>
      <c r="C370" s="134" t="s">
        <v>302</v>
      </c>
      <c r="D370" s="101">
        <f t="shared" ref="D370:D374" si="144">ROUND(J370*K370/10000,2)</f>
        <v>25.44</v>
      </c>
      <c r="E370" s="129"/>
      <c r="F370" s="129"/>
      <c r="G370" s="130"/>
      <c r="H370" s="102">
        <f t="shared" ref="H370:H374" si="145">SUM(D370:G370)</f>
        <v>25.44</v>
      </c>
      <c r="I370" s="131" t="s">
        <v>34</v>
      </c>
      <c r="J370" s="35">
        <v>400</v>
      </c>
      <c r="K370" s="101">
        <v>636</v>
      </c>
      <c r="L370" s="132"/>
      <c r="M370" s="105"/>
      <c r="N370" s="117">
        <f>K370/1.05*1.03</f>
        <v>623.885714285714</v>
      </c>
      <c r="O370" s="118">
        <v>6880.275</v>
      </c>
      <c r="P370" s="20"/>
      <c r="Q370" s="20"/>
      <c r="R370" s="20"/>
      <c r="S370" s="20"/>
      <c r="T370" s="20"/>
      <c r="U370" s="20"/>
      <c r="V370" s="6"/>
      <c r="X370" s="6"/>
      <c r="Y370" s="6"/>
    </row>
    <row r="371" s="83" customFormat="1" ht="15" customHeight="1" spans="1:25">
      <c r="B371" s="121">
        <f t="shared" ref="B371:B374" si="146">B370+1</f>
        <v>2</v>
      </c>
      <c r="C371" s="144" t="s">
        <v>303</v>
      </c>
      <c r="D371" s="110">
        <f t="shared" si="144"/>
        <v>2.57</v>
      </c>
      <c r="E371" s="123"/>
      <c r="F371" s="123"/>
      <c r="G371" s="124"/>
      <c r="H371" s="113">
        <f t="shared" si="145"/>
        <v>2.57</v>
      </c>
      <c r="I371" s="125" t="s">
        <v>119</v>
      </c>
      <c r="J371" s="114">
        <v>4</v>
      </c>
      <c r="K371" s="110">
        <v>6419</v>
      </c>
      <c r="L371" s="126"/>
      <c r="M371" s="116"/>
      <c r="N371" s="117">
        <f t="shared" ref="N371:N381" si="147">K371/1.05*1.03</f>
        <v>6296.73333333333</v>
      </c>
      <c r="O371" s="118">
        <v>243.75</v>
      </c>
      <c r="P371" s="119"/>
      <c r="Q371" s="119"/>
      <c r="R371" s="119"/>
      <c r="S371" s="119"/>
      <c r="T371" s="119"/>
      <c r="U371" s="119"/>
      <c r="V371" s="120"/>
      <c r="X371" s="120"/>
      <c r="Y371" s="120"/>
    </row>
    <row r="372" s="83" customFormat="1" ht="15" customHeight="1" spans="1:25">
      <c r="B372" s="121">
        <f t="shared" si="146"/>
        <v>3</v>
      </c>
      <c r="C372" s="144" t="s">
        <v>235</v>
      </c>
      <c r="D372" s="110">
        <f t="shared" si="144"/>
        <v>5.7</v>
      </c>
      <c r="E372" s="123"/>
      <c r="F372" s="123"/>
      <c r="G372" s="124"/>
      <c r="H372" s="113">
        <f t="shared" si="145"/>
        <v>5.7</v>
      </c>
      <c r="I372" s="125" t="s">
        <v>119</v>
      </c>
      <c r="J372" s="114">
        <v>4</v>
      </c>
      <c r="K372" s="110">
        <v>14245</v>
      </c>
      <c r="L372" s="126"/>
      <c r="M372" s="116"/>
      <c r="N372" s="117">
        <f t="shared" si="147"/>
        <v>13973.6666666667</v>
      </c>
      <c r="O372" s="118">
        <v>470.07</v>
      </c>
      <c r="P372" s="119"/>
      <c r="Q372" s="119"/>
      <c r="R372" s="119"/>
      <c r="S372" s="119"/>
      <c r="T372" s="119"/>
      <c r="U372" s="119"/>
      <c r="V372" s="120"/>
      <c r="X372" s="120"/>
      <c r="Y372" s="120"/>
    </row>
    <row r="373" s="83" customFormat="1" ht="15" customHeight="1" spans="1:25">
      <c r="B373" s="121">
        <f t="shared" si="146"/>
        <v>4</v>
      </c>
      <c r="C373" s="144" t="s">
        <v>279</v>
      </c>
      <c r="D373" s="110">
        <f t="shared" si="144"/>
        <v>0.65</v>
      </c>
      <c r="E373" s="123"/>
      <c r="F373" s="123"/>
      <c r="G373" s="124"/>
      <c r="H373" s="113">
        <f t="shared" si="145"/>
        <v>0.65</v>
      </c>
      <c r="I373" s="125" t="s">
        <v>119</v>
      </c>
      <c r="J373" s="114">
        <v>1</v>
      </c>
      <c r="K373" s="110">
        <v>6509</v>
      </c>
      <c r="L373" s="126"/>
      <c r="M373" s="116"/>
      <c r="N373" s="117"/>
      <c r="O373" s="118"/>
      <c r="P373" s="119"/>
      <c r="Q373" s="119"/>
      <c r="R373" s="119"/>
      <c r="S373" s="119"/>
      <c r="T373" s="119"/>
      <c r="U373" s="119"/>
      <c r="V373" s="120"/>
      <c r="X373" s="120"/>
      <c r="Y373" s="120"/>
    </row>
    <row r="374" s="83" customFormat="1" ht="15" customHeight="1" spans="1:25">
      <c r="B374" s="121">
        <f t="shared" si="146"/>
        <v>5</v>
      </c>
      <c r="C374" s="144" t="s">
        <v>280</v>
      </c>
      <c r="D374" s="110">
        <f t="shared" si="144"/>
        <v>0.76</v>
      </c>
      <c r="E374" s="123"/>
      <c r="F374" s="123"/>
      <c r="G374" s="124"/>
      <c r="H374" s="113">
        <f t="shared" si="145"/>
        <v>0.76</v>
      </c>
      <c r="I374" s="125" t="s">
        <v>119</v>
      </c>
      <c r="J374" s="114">
        <v>1</v>
      </c>
      <c r="K374" s="110">
        <v>7616</v>
      </c>
      <c r="L374" s="126"/>
      <c r="M374" s="116"/>
      <c r="N374" s="117"/>
      <c r="O374" s="118"/>
      <c r="P374" s="119"/>
      <c r="Q374" s="119"/>
      <c r="R374" s="119"/>
      <c r="S374" s="119"/>
      <c r="T374" s="119"/>
      <c r="U374" s="119"/>
      <c r="V374" s="120"/>
      <c r="X374" s="120"/>
      <c r="Y374" s="120"/>
    </row>
    <row r="375" s="86" customFormat="1" ht="15" customHeight="1" spans="1:25">
      <c r="B375" s="96" t="s">
        <v>67</v>
      </c>
      <c r="C375" s="26" t="s">
        <v>85</v>
      </c>
      <c r="D375" s="27">
        <f t="shared" ref="D375:H375" si="148">SUM(D376:D381)</f>
        <v>121.48</v>
      </c>
      <c r="E375" s="27">
        <f t="shared" si="148"/>
        <v>0</v>
      </c>
      <c r="F375" s="27">
        <f t="shared" si="148"/>
        <v>0</v>
      </c>
      <c r="G375" s="27">
        <f t="shared" si="148"/>
        <v>0</v>
      </c>
      <c r="H375" s="27">
        <f t="shared" si="148"/>
        <v>121.48</v>
      </c>
      <c r="I375" s="28" t="s">
        <v>17</v>
      </c>
      <c r="J375" s="27">
        <f>J369</f>
        <v>0.375</v>
      </c>
      <c r="K375" s="29">
        <f>H375/J375*10000</f>
        <v>3239466.66666667</v>
      </c>
      <c r="L375" s="107"/>
      <c r="M375" s="97"/>
      <c r="N375" s="32"/>
      <c r="O375" s="32"/>
      <c r="P375" s="20"/>
      <c r="Q375" s="20"/>
      <c r="R375" s="20"/>
      <c r="S375" s="20"/>
      <c r="T375" s="20"/>
      <c r="U375" s="20"/>
      <c r="V375" s="6"/>
      <c r="W375" s="2"/>
      <c r="X375" s="146"/>
      <c r="Y375" s="146"/>
    </row>
    <row r="376" ht="15" customHeight="1" spans="1:25">
      <c r="B376" s="127">
        <v>1</v>
      </c>
      <c r="C376" s="134" t="s">
        <v>238</v>
      </c>
      <c r="D376" s="101">
        <f t="shared" ref="D376:D381" si="149">ROUND(J376*K376/10000,2)</f>
        <v>62.57</v>
      </c>
      <c r="E376" s="129"/>
      <c r="F376" s="129"/>
      <c r="G376" s="130"/>
      <c r="H376" s="102">
        <f t="shared" ref="H376:H381" si="150">SUM(D376:G376)</f>
        <v>62.57</v>
      </c>
      <c r="I376" s="131" t="s">
        <v>34</v>
      </c>
      <c r="J376" s="35">
        <v>370</v>
      </c>
      <c r="K376" s="101">
        <v>1691</v>
      </c>
      <c r="L376" s="132"/>
      <c r="M376" s="105"/>
      <c r="N376" s="33">
        <f t="shared" si="147"/>
        <v>1658.79047619048</v>
      </c>
      <c r="O376" s="133">
        <v>2823.25</v>
      </c>
      <c r="P376" s="20"/>
      <c r="Q376" s="20"/>
      <c r="R376" s="20"/>
      <c r="S376" s="20"/>
      <c r="T376" s="20"/>
      <c r="U376" s="20"/>
      <c r="W376" s="2"/>
    </row>
    <row r="377" ht="15" customHeight="1" spans="1:25">
      <c r="B377" s="127">
        <f t="shared" ref="B377:B381" si="151">B376+1</f>
        <v>2</v>
      </c>
      <c r="C377" s="134" t="s">
        <v>239</v>
      </c>
      <c r="D377" s="101">
        <f t="shared" si="149"/>
        <v>16.58</v>
      </c>
      <c r="E377" s="129"/>
      <c r="F377" s="129"/>
      <c r="G377" s="130"/>
      <c r="H377" s="102">
        <f t="shared" si="150"/>
        <v>16.58</v>
      </c>
      <c r="I377" s="131" t="s">
        <v>34</v>
      </c>
      <c r="J377" s="35">
        <v>75</v>
      </c>
      <c r="K377" s="101">
        <v>2211</v>
      </c>
      <c r="L377" s="132"/>
      <c r="M377" s="105"/>
      <c r="N377" s="33">
        <f t="shared" si="147"/>
        <v>2168.88571428571</v>
      </c>
      <c r="O377" s="133">
        <v>2823.25</v>
      </c>
      <c r="P377" s="20"/>
      <c r="Q377" s="20"/>
      <c r="R377" s="20"/>
      <c r="S377" s="20"/>
      <c r="T377" s="20"/>
      <c r="U377" s="20"/>
      <c r="W377" s="2"/>
    </row>
    <row r="378" ht="15" customHeight="1" spans="1:25">
      <c r="B378" s="127">
        <f t="shared" si="151"/>
        <v>3</v>
      </c>
      <c r="C378" s="134" t="s">
        <v>240</v>
      </c>
      <c r="D378" s="101">
        <f t="shared" si="149"/>
        <v>31.47</v>
      </c>
      <c r="E378" s="129"/>
      <c r="F378" s="129"/>
      <c r="G378" s="130"/>
      <c r="H378" s="102">
        <f t="shared" si="150"/>
        <v>31.47</v>
      </c>
      <c r="I378" s="131" t="s">
        <v>119</v>
      </c>
      <c r="J378" s="35">
        <v>13</v>
      </c>
      <c r="K378" s="101">
        <v>24211</v>
      </c>
      <c r="L378" s="132"/>
      <c r="M378" s="105"/>
      <c r="N378" s="33">
        <f t="shared" si="147"/>
        <v>23749.8380952381</v>
      </c>
      <c r="O378" s="133">
        <v>2823.25</v>
      </c>
      <c r="P378" s="20"/>
      <c r="Q378" s="20"/>
      <c r="R378" s="20"/>
      <c r="S378" s="20"/>
      <c r="T378" s="20"/>
      <c r="U378" s="20"/>
      <c r="W378" s="2"/>
    </row>
    <row r="379" ht="15" customHeight="1" spans="1:25">
      <c r="B379" s="127">
        <f t="shared" si="151"/>
        <v>4</v>
      </c>
      <c r="C379" s="134" t="s">
        <v>241</v>
      </c>
      <c r="D379" s="101">
        <f t="shared" si="149"/>
        <v>7.26</v>
      </c>
      <c r="E379" s="129"/>
      <c r="F379" s="129"/>
      <c r="G379" s="130"/>
      <c r="H379" s="102">
        <f t="shared" si="150"/>
        <v>7.26</v>
      </c>
      <c r="I379" s="131" t="s">
        <v>119</v>
      </c>
      <c r="J379" s="35">
        <v>3</v>
      </c>
      <c r="K379" s="101">
        <v>24211</v>
      </c>
      <c r="L379" s="132"/>
      <c r="M379" s="105"/>
      <c r="N379" s="33">
        <f t="shared" si="147"/>
        <v>23749.8380952381</v>
      </c>
      <c r="O379" s="133">
        <v>2823.25</v>
      </c>
      <c r="P379" s="20"/>
      <c r="Q379" s="20"/>
      <c r="R379" s="20"/>
      <c r="S379" s="20"/>
      <c r="T379" s="20"/>
      <c r="U379" s="20"/>
      <c r="W379" s="2"/>
    </row>
    <row r="380" ht="15" customHeight="1" spans="1:25">
      <c r="B380" s="127">
        <f t="shared" si="151"/>
        <v>5</v>
      </c>
      <c r="C380" s="134" t="s">
        <v>242</v>
      </c>
      <c r="D380" s="101">
        <f t="shared" si="149"/>
        <v>2.67</v>
      </c>
      <c r="E380" s="129"/>
      <c r="F380" s="129"/>
      <c r="G380" s="130"/>
      <c r="H380" s="102">
        <f t="shared" si="150"/>
        <v>2.67</v>
      </c>
      <c r="I380" s="131" t="s">
        <v>34</v>
      </c>
      <c r="J380" s="35">
        <v>890</v>
      </c>
      <c r="K380" s="101">
        <v>30</v>
      </c>
      <c r="L380" s="132"/>
      <c r="M380" s="105"/>
      <c r="N380" s="33">
        <f t="shared" si="147"/>
        <v>29.4285714285714</v>
      </c>
      <c r="O380" s="133">
        <v>2823.25</v>
      </c>
      <c r="P380" s="20"/>
      <c r="Q380" s="20"/>
      <c r="R380" s="20"/>
      <c r="S380" s="20"/>
      <c r="T380" s="20"/>
      <c r="U380" s="20"/>
      <c r="W380" s="2"/>
    </row>
    <row r="381" ht="15" customHeight="1" spans="1:25">
      <c r="B381" s="127">
        <f t="shared" si="151"/>
        <v>6</v>
      </c>
      <c r="C381" s="134" t="s">
        <v>243</v>
      </c>
      <c r="D381" s="101">
        <f t="shared" si="149"/>
        <v>0.93</v>
      </c>
      <c r="E381" s="129"/>
      <c r="F381" s="129"/>
      <c r="G381" s="130"/>
      <c r="H381" s="102">
        <f t="shared" si="150"/>
        <v>0.93</v>
      </c>
      <c r="I381" s="131" t="s">
        <v>49</v>
      </c>
      <c r="J381" s="35">
        <v>64</v>
      </c>
      <c r="K381" s="101">
        <v>145</v>
      </c>
      <c r="L381" s="132"/>
      <c r="M381" s="105"/>
      <c r="N381" s="33">
        <f t="shared" si="147"/>
        <v>142.238095238095</v>
      </c>
      <c r="O381" s="133">
        <v>2823.25</v>
      </c>
      <c r="P381" s="20"/>
      <c r="Q381" s="20"/>
      <c r="R381" s="20"/>
      <c r="S381" s="20"/>
      <c r="T381" s="20"/>
      <c r="U381" s="20"/>
      <c r="W381" s="2"/>
    </row>
    <row r="382" s="86" customFormat="1" ht="15" customHeight="1" spans="1:25">
      <c r="B382" s="96" t="s">
        <v>72</v>
      </c>
      <c r="C382" s="26" t="s">
        <v>90</v>
      </c>
      <c r="D382" s="27">
        <f t="shared" ref="D382:H382" si="152">SUM(D383:D386)</f>
        <v>68.63</v>
      </c>
      <c r="E382" s="27">
        <f t="shared" si="152"/>
        <v>0</v>
      </c>
      <c r="F382" s="27">
        <f t="shared" si="152"/>
        <v>0</v>
      </c>
      <c r="G382" s="27">
        <f t="shared" si="152"/>
        <v>0</v>
      </c>
      <c r="H382" s="27">
        <f t="shared" si="152"/>
        <v>68.63</v>
      </c>
      <c r="I382" s="28" t="s">
        <v>17</v>
      </c>
      <c r="J382" s="27">
        <f>J375</f>
        <v>0.375</v>
      </c>
      <c r="K382" s="29">
        <f>H382/J382*10000</f>
        <v>1830133.33333333</v>
      </c>
      <c r="L382" s="107"/>
      <c r="M382" s="97"/>
      <c r="N382" s="32"/>
      <c r="O382" s="32"/>
      <c r="P382" s="20"/>
      <c r="Q382" s="20"/>
      <c r="R382" s="20"/>
      <c r="S382" s="20"/>
      <c r="T382" s="20"/>
      <c r="U382" s="20"/>
      <c r="V382" s="6"/>
      <c r="W382" s="2"/>
      <c r="X382" s="146"/>
      <c r="Y382" s="146"/>
    </row>
    <row r="383" ht="15" customHeight="1" spans="1:25">
      <c r="B383" s="127">
        <v>1</v>
      </c>
      <c r="C383" s="134" t="s">
        <v>244</v>
      </c>
      <c r="D383" s="101">
        <f t="shared" ref="D383:D386" si="153">ROUND(J383*K383/10000,2)</f>
        <v>37.3</v>
      </c>
      <c r="E383" s="129"/>
      <c r="F383" s="129"/>
      <c r="G383" s="130"/>
      <c r="H383" s="102">
        <f t="shared" ref="H383:H386" si="154">SUM(D383:G383)</f>
        <v>37.3</v>
      </c>
      <c r="I383" s="131" t="s">
        <v>34</v>
      </c>
      <c r="J383" s="35">
        <v>370</v>
      </c>
      <c r="K383" s="101">
        <v>1008</v>
      </c>
      <c r="L383" s="132"/>
      <c r="M383" s="105"/>
      <c r="N383" s="33">
        <f t="shared" ref="N383:N386" si="155">K383/1.05*1.03</f>
        <v>988.8</v>
      </c>
      <c r="O383" s="133">
        <v>2823.25</v>
      </c>
      <c r="P383" s="20"/>
      <c r="Q383" s="20"/>
      <c r="R383" s="20"/>
      <c r="S383" s="20"/>
      <c r="T383" s="20"/>
      <c r="U383" s="20"/>
      <c r="W383" s="2"/>
    </row>
    <row r="384" ht="15" customHeight="1" spans="1:25">
      <c r="B384" s="127">
        <f t="shared" ref="B384:B386" si="156">B383+1</f>
        <v>2</v>
      </c>
      <c r="C384" s="134" t="s">
        <v>245</v>
      </c>
      <c r="D384" s="101">
        <f t="shared" si="153"/>
        <v>11.48</v>
      </c>
      <c r="E384" s="129"/>
      <c r="F384" s="129"/>
      <c r="G384" s="130"/>
      <c r="H384" s="102">
        <f t="shared" si="154"/>
        <v>11.48</v>
      </c>
      <c r="I384" s="131" t="s">
        <v>34</v>
      </c>
      <c r="J384" s="35">
        <v>75</v>
      </c>
      <c r="K384" s="101">
        <v>1531</v>
      </c>
      <c r="L384" s="132"/>
      <c r="M384" s="105"/>
      <c r="N384" s="33">
        <f t="shared" si="155"/>
        <v>1501.8380952381</v>
      </c>
      <c r="O384" s="133">
        <v>2823.25</v>
      </c>
      <c r="P384" s="20"/>
      <c r="Q384" s="20"/>
      <c r="R384" s="20"/>
      <c r="S384" s="20"/>
      <c r="T384" s="20"/>
      <c r="U384" s="20"/>
      <c r="W384" s="2"/>
    </row>
    <row r="385" ht="15" customHeight="1" spans="2:25">
      <c r="B385" s="127">
        <f t="shared" si="156"/>
        <v>3</v>
      </c>
      <c r="C385" s="134" t="s">
        <v>246</v>
      </c>
      <c r="D385" s="101">
        <f t="shared" si="153"/>
        <v>12.41</v>
      </c>
      <c r="E385" s="129"/>
      <c r="F385" s="129"/>
      <c r="G385" s="130"/>
      <c r="H385" s="102">
        <f t="shared" si="154"/>
        <v>12.41</v>
      </c>
      <c r="I385" s="131" t="s">
        <v>119</v>
      </c>
      <c r="J385" s="35">
        <v>7</v>
      </c>
      <c r="K385" s="101">
        <v>17733</v>
      </c>
      <c r="L385" s="132"/>
      <c r="M385" s="105"/>
      <c r="N385" s="33">
        <f t="shared" si="155"/>
        <v>17395.2285714286</v>
      </c>
      <c r="O385" s="133">
        <v>2823.25</v>
      </c>
      <c r="P385" s="20"/>
      <c r="Q385" s="20"/>
      <c r="R385" s="20"/>
      <c r="S385" s="20"/>
      <c r="T385" s="20"/>
      <c r="U385" s="20"/>
      <c r="W385" s="2"/>
    </row>
    <row r="386" ht="15" customHeight="1" spans="2:25">
      <c r="B386" s="127">
        <f t="shared" si="156"/>
        <v>4</v>
      </c>
      <c r="C386" s="134" t="s">
        <v>247</v>
      </c>
      <c r="D386" s="101">
        <f t="shared" si="153"/>
        <v>7.44</v>
      </c>
      <c r="E386" s="129"/>
      <c r="F386" s="129"/>
      <c r="G386" s="130"/>
      <c r="H386" s="102">
        <f t="shared" si="154"/>
        <v>7.44</v>
      </c>
      <c r="I386" s="131" t="s">
        <v>119</v>
      </c>
      <c r="J386" s="35">
        <v>3</v>
      </c>
      <c r="K386" s="101">
        <v>24793</v>
      </c>
      <c r="L386" s="132"/>
      <c r="M386" s="105"/>
      <c r="N386" s="33">
        <f t="shared" si="155"/>
        <v>24320.7523809524</v>
      </c>
      <c r="O386" s="133">
        <v>2823.25</v>
      </c>
      <c r="P386" s="20"/>
      <c r="Q386" s="20"/>
      <c r="R386" s="20"/>
      <c r="S386" s="20"/>
      <c r="T386" s="20"/>
      <c r="U386" s="20"/>
      <c r="W386" s="2"/>
    </row>
    <row r="387" s="86" customFormat="1" ht="15" customHeight="1" spans="2:25">
      <c r="B387" s="96" t="s">
        <v>79</v>
      </c>
      <c r="C387" s="26" t="s">
        <v>248</v>
      </c>
      <c r="D387" s="27">
        <f t="shared" ref="D387:H387" si="157">SUM(D388:D397)</f>
        <v>58.38</v>
      </c>
      <c r="E387" s="27">
        <f t="shared" si="157"/>
        <v>0</v>
      </c>
      <c r="F387" s="27">
        <f t="shared" si="157"/>
        <v>0</v>
      </c>
      <c r="G387" s="27">
        <f t="shared" si="157"/>
        <v>0</v>
      </c>
      <c r="H387" s="27">
        <f t="shared" si="157"/>
        <v>58.38</v>
      </c>
      <c r="I387" s="28" t="s">
        <v>17</v>
      </c>
      <c r="J387" s="27">
        <f>J382</f>
        <v>0.375</v>
      </c>
      <c r="K387" s="29">
        <f>H387/J387*10000</f>
        <v>1556800</v>
      </c>
      <c r="L387" s="107"/>
      <c r="M387" s="97"/>
      <c r="N387" s="32"/>
      <c r="O387" s="32"/>
      <c r="P387" s="20"/>
      <c r="Q387" s="20"/>
      <c r="R387" s="20"/>
      <c r="S387" s="20"/>
      <c r="T387" s="20"/>
      <c r="U387" s="20"/>
      <c r="V387" s="6"/>
      <c r="W387" s="2"/>
      <c r="X387" s="146"/>
      <c r="Y387" s="146"/>
    </row>
    <row r="388" ht="15" customHeight="1" spans="2:25">
      <c r="B388" s="127">
        <v>1</v>
      </c>
      <c r="C388" s="134" t="s">
        <v>291</v>
      </c>
      <c r="D388" s="101">
        <f t="shared" ref="D388:D397" si="158">ROUND(J388*K388/10000,2)</f>
        <v>22.41</v>
      </c>
      <c r="E388" s="129"/>
      <c r="F388" s="129"/>
      <c r="G388" s="130"/>
      <c r="H388" s="102">
        <f t="shared" ref="H388:H397" si="159">SUM(D388:G388)</f>
        <v>22.41</v>
      </c>
      <c r="I388" s="131" t="s">
        <v>52</v>
      </c>
      <c r="J388" s="35">
        <v>30</v>
      </c>
      <c r="K388" s="101">
        <v>7471</v>
      </c>
      <c r="L388" s="132"/>
      <c r="M388" s="105"/>
      <c r="N388" s="33">
        <f t="shared" ref="N388:N397" si="160">K388/1.05*1.03</f>
        <v>7328.69523809524</v>
      </c>
      <c r="O388" s="133">
        <v>2823.25</v>
      </c>
      <c r="P388" s="20"/>
      <c r="Q388" s="20"/>
      <c r="R388" s="20"/>
      <c r="S388" s="20"/>
      <c r="T388" s="20"/>
      <c r="U388" s="20"/>
      <c r="W388" s="2"/>
    </row>
    <row r="389" ht="15" customHeight="1" spans="2:25">
      <c r="B389" s="127">
        <f t="shared" ref="B389:B397" si="161">B388+1</f>
        <v>2</v>
      </c>
      <c r="C389" s="134" t="s">
        <v>250</v>
      </c>
      <c r="D389" s="101">
        <f t="shared" si="158"/>
        <v>4.71</v>
      </c>
      <c r="E389" s="129"/>
      <c r="F389" s="129"/>
      <c r="G389" s="130"/>
      <c r="H389" s="102">
        <f t="shared" si="159"/>
        <v>4.71</v>
      </c>
      <c r="I389" s="131" t="s">
        <v>52</v>
      </c>
      <c r="J389" s="35">
        <v>2</v>
      </c>
      <c r="K389" s="101">
        <v>23564</v>
      </c>
      <c r="L389" s="132"/>
      <c r="M389" s="105"/>
      <c r="N389" s="33">
        <f t="shared" si="160"/>
        <v>23115.1619047619</v>
      </c>
      <c r="O389" s="133">
        <v>2823.25</v>
      </c>
      <c r="P389" s="20"/>
      <c r="Q389" s="20"/>
      <c r="R389" s="20"/>
      <c r="S389" s="20"/>
      <c r="T389" s="20"/>
      <c r="U389" s="20"/>
      <c r="W389" s="2"/>
    </row>
    <row r="390" ht="15" customHeight="1" spans="2:25">
      <c r="B390" s="127">
        <f t="shared" si="161"/>
        <v>3</v>
      </c>
      <c r="C390" s="134" t="s">
        <v>251</v>
      </c>
      <c r="D390" s="101">
        <f t="shared" si="158"/>
        <v>0</v>
      </c>
      <c r="E390" s="129"/>
      <c r="F390" s="129"/>
      <c r="G390" s="130"/>
      <c r="H390" s="102">
        <f t="shared" si="159"/>
        <v>0</v>
      </c>
      <c r="I390" s="131" t="s">
        <v>252</v>
      </c>
      <c r="J390" s="35">
        <v>0</v>
      </c>
      <c r="K390" s="101">
        <v>177091</v>
      </c>
      <c r="L390" s="132"/>
      <c r="M390" s="105"/>
      <c r="N390" s="33">
        <f t="shared" si="160"/>
        <v>173717.838095238</v>
      </c>
      <c r="O390" s="133">
        <v>2823.25</v>
      </c>
      <c r="P390" s="20"/>
      <c r="Q390" s="20"/>
      <c r="R390" s="20"/>
      <c r="S390" s="20"/>
      <c r="T390" s="20"/>
      <c r="U390" s="20"/>
      <c r="W390" s="2"/>
    </row>
    <row r="391" ht="15" customHeight="1" spans="2:25">
      <c r="B391" s="127">
        <f t="shared" si="161"/>
        <v>4</v>
      </c>
      <c r="C391" s="134" t="s">
        <v>253</v>
      </c>
      <c r="D391" s="101">
        <f t="shared" si="158"/>
        <v>0</v>
      </c>
      <c r="E391" s="129"/>
      <c r="F391" s="129"/>
      <c r="G391" s="130"/>
      <c r="H391" s="102">
        <f t="shared" si="159"/>
        <v>0</v>
      </c>
      <c r="I391" s="131" t="s">
        <v>252</v>
      </c>
      <c r="J391" s="35">
        <v>0</v>
      </c>
      <c r="K391" s="101">
        <v>48762</v>
      </c>
      <c r="L391" s="132"/>
      <c r="M391" s="105"/>
      <c r="N391" s="33">
        <f t="shared" si="160"/>
        <v>47833.2</v>
      </c>
      <c r="O391" s="133">
        <v>2823.25</v>
      </c>
      <c r="P391" s="20"/>
      <c r="Q391" s="20"/>
      <c r="R391" s="20"/>
      <c r="S391" s="20"/>
      <c r="T391" s="20"/>
      <c r="U391" s="20"/>
      <c r="W391" s="2"/>
    </row>
    <row r="392" ht="15" customHeight="1" spans="2:25">
      <c r="B392" s="127">
        <f t="shared" si="161"/>
        <v>5</v>
      </c>
      <c r="C392" s="134" t="s">
        <v>254</v>
      </c>
      <c r="D392" s="101">
        <f t="shared" si="158"/>
        <v>3.26</v>
      </c>
      <c r="E392" s="129"/>
      <c r="F392" s="129"/>
      <c r="G392" s="130"/>
      <c r="H392" s="102">
        <f t="shared" si="159"/>
        <v>3.26</v>
      </c>
      <c r="I392" s="131" t="s">
        <v>119</v>
      </c>
      <c r="J392" s="35">
        <v>15</v>
      </c>
      <c r="K392" s="101">
        <v>2176</v>
      </c>
      <c r="L392" s="132"/>
      <c r="M392" s="105"/>
      <c r="N392" s="33">
        <f t="shared" si="160"/>
        <v>2134.55238095238</v>
      </c>
      <c r="O392" s="133">
        <v>2823.25</v>
      </c>
      <c r="P392" s="20"/>
      <c r="Q392" s="20"/>
      <c r="R392" s="20"/>
      <c r="S392" s="20"/>
      <c r="T392" s="20"/>
      <c r="U392" s="20"/>
      <c r="W392" s="2"/>
    </row>
    <row r="393" ht="15" customHeight="1" spans="2:25">
      <c r="B393" s="127">
        <f t="shared" si="161"/>
        <v>6</v>
      </c>
      <c r="C393" s="134" t="s">
        <v>255</v>
      </c>
      <c r="D393" s="101">
        <f t="shared" si="158"/>
        <v>15.31</v>
      </c>
      <c r="E393" s="129"/>
      <c r="F393" s="129"/>
      <c r="G393" s="130"/>
      <c r="H393" s="102">
        <f t="shared" si="159"/>
        <v>15.31</v>
      </c>
      <c r="I393" s="131" t="s">
        <v>34</v>
      </c>
      <c r="J393" s="35">
        <v>880</v>
      </c>
      <c r="K393" s="101">
        <v>174</v>
      </c>
      <c r="L393" s="132"/>
      <c r="M393" s="105"/>
      <c r="N393" s="33">
        <f t="shared" si="160"/>
        <v>170.685714285714</v>
      </c>
      <c r="O393" s="133">
        <v>2823.25</v>
      </c>
      <c r="P393" s="20"/>
      <c r="Q393" s="20"/>
      <c r="R393" s="20"/>
      <c r="S393" s="20"/>
      <c r="T393" s="20"/>
      <c r="U393" s="20"/>
      <c r="W393" s="2"/>
    </row>
    <row r="394" ht="15" customHeight="1" spans="2:25">
      <c r="B394" s="127">
        <f t="shared" si="161"/>
        <v>7</v>
      </c>
      <c r="C394" s="134" t="s">
        <v>256</v>
      </c>
      <c r="D394" s="101">
        <f t="shared" si="158"/>
        <v>9.28</v>
      </c>
      <c r="E394" s="129"/>
      <c r="F394" s="129"/>
      <c r="G394" s="130"/>
      <c r="H394" s="102">
        <f t="shared" si="159"/>
        <v>9.28</v>
      </c>
      <c r="I394" s="131" t="s">
        <v>34</v>
      </c>
      <c r="J394" s="35">
        <v>800</v>
      </c>
      <c r="K394" s="101">
        <v>116</v>
      </c>
      <c r="L394" s="132"/>
      <c r="M394" s="105"/>
      <c r="N394" s="33">
        <f t="shared" si="160"/>
        <v>113.790476190476</v>
      </c>
      <c r="O394" s="133">
        <v>2823.25</v>
      </c>
      <c r="P394" s="20"/>
      <c r="Q394" s="20"/>
      <c r="R394" s="20"/>
      <c r="S394" s="20"/>
      <c r="T394" s="20"/>
      <c r="U394" s="20"/>
      <c r="W394" s="2"/>
    </row>
    <row r="395" ht="15" customHeight="1" spans="2:25">
      <c r="B395" s="127">
        <f t="shared" si="161"/>
        <v>8</v>
      </c>
      <c r="C395" s="134" t="s">
        <v>257</v>
      </c>
      <c r="D395" s="101">
        <f t="shared" si="158"/>
        <v>2.5</v>
      </c>
      <c r="E395" s="129"/>
      <c r="F395" s="129"/>
      <c r="G395" s="130"/>
      <c r="H395" s="102">
        <f t="shared" si="159"/>
        <v>2.5</v>
      </c>
      <c r="I395" s="131" t="s">
        <v>49</v>
      </c>
      <c r="J395" s="35">
        <v>160</v>
      </c>
      <c r="K395" s="101">
        <v>156</v>
      </c>
      <c r="L395" s="132"/>
      <c r="M395" s="105"/>
      <c r="N395" s="33">
        <f t="shared" si="160"/>
        <v>153.028571428571</v>
      </c>
      <c r="O395" s="133">
        <v>2823.25</v>
      </c>
      <c r="P395" s="20"/>
      <c r="Q395" s="20"/>
      <c r="R395" s="20"/>
      <c r="S395" s="20"/>
      <c r="T395" s="20"/>
      <c r="U395" s="20"/>
      <c r="W395" s="2"/>
    </row>
    <row r="396" ht="15" customHeight="1" spans="2:25">
      <c r="B396" s="127">
        <f t="shared" si="161"/>
        <v>9</v>
      </c>
      <c r="C396" s="134" t="s">
        <v>258</v>
      </c>
      <c r="D396" s="101">
        <f t="shared" si="158"/>
        <v>0.27</v>
      </c>
      <c r="E396" s="129"/>
      <c r="F396" s="129"/>
      <c r="G396" s="130"/>
      <c r="H396" s="102">
        <f t="shared" si="159"/>
        <v>0.27</v>
      </c>
      <c r="I396" s="131" t="s">
        <v>34</v>
      </c>
      <c r="J396" s="35">
        <v>90</v>
      </c>
      <c r="K396" s="101">
        <v>30</v>
      </c>
      <c r="L396" s="132"/>
      <c r="M396" s="105"/>
      <c r="N396" s="33">
        <f t="shared" si="160"/>
        <v>29.4285714285714</v>
      </c>
      <c r="O396" s="133">
        <v>2823.25</v>
      </c>
      <c r="P396" s="20"/>
      <c r="Q396" s="20"/>
      <c r="R396" s="20"/>
      <c r="S396" s="20"/>
      <c r="T396" s="20"/>
      <c r="U396" s="20"/>
      <c r="W396" s="2"/>
    </row>
    <row r="397" ht="15" customHeight="1" spans="2:25">
      <c r="B397" s="127">
        <f t="shared" si="161"/>
        <v>10</v>
      </c>
      <c r="C397" s="134" t="s">
        <v>243</v>
      </c>
      <c r="D397" s="101">
        <f t="shared" si="158"/>
        <v>0.64</v>
      </c>
      <c r="E397" s="129"/>
      <c r="F397" s="129"/>
      <c r="G397" s="130"/>
      <c r="H397" s="102">
        <f t="shared" si="159"/>
        <v>0.64</v>
      </c>
      <c r="I397" s="131" t="s">
        <v>49</v>
      </c>
      <c r="J397" s="35">
        <v>44</v>
      </c>
      <c r="K397" s="101">
        <v>145</v>
      </c>
      <c r="L397" s="132"/>
      <c r="M397" s="105"/>
      <c r="N397" s="33">
        <f t="shared" si="160"/>
        <v>142.238095238095</v>
      </c>
      <c r="O397" s="133">
        <v>2823.25</v>
      </c>
      <c r="P397" s="20"/>
      <c r="Q397" s="20"/>
      <c r="R397" s="20"/>
      <c r="S397" s="20"/>
      <c r="T397" s="20"/>
      <c r="U397" s="20"/>
      <c r="W397" s="2"/>
    </row>
    <row r="398" ht="15" customHeight="1" spans="2:25">
      <c r="B398" s="96" t="s">
        <v>84</v>
      </c>
      <c r="C398" s="26" t="s">
        <v>259</v>
      </c>
      <c r="D398" s="27">
        <f>SUM(D399:D407)</f>
        <v>31.93</v>
      </c>
      <c r="E398" s="27">
        <f>SUM(E399:E407)</f>
        <v>0</v>
      </c>
      <c r="F398" s="27">
        <f>SUM(F399:F407)</f>
        <v>0</v>
      </c>
      <c r="G398" s="27">
        <f>SUM(G399:G407)</f>
        <v>0</v>
      </c>
      <c r="H398" s="27">
        <f>SUM(H399:H407)</f>
        <v>31.93</v>
      </c>
      <c r="I398" s="28" t="s">
        <v>17</v>
      </c>
      <c r="J398" s="27">
        <f>J334</f>
        <v>0.375</v>
      </c>
      <c r="K398" s="29">
        <f>H398*10000/J398</f>
        <v>851466.666666667</v>
      </c>
      <c r="L398" s="147"/>
      <c r="M398" s="148"/>
      <c r="N398" s="149"/>
      <c r="O398" s="149"/>
      <c r="P398" s="20"/>
      <c r="Q398" s="20"/>
      <c r="R398" s="20"/>
      <c r="S398" s="20"/>
      <c r="T398" s="20"/>
      <c r="U398" s="20"/>
      <c r="V398" s="34"/>
      <c r="W398" s="2"/>
    </row>
    <row r="399" ht="15" customHeight="1" spans="2:25">
      <c r="B399" s="150">
        <v>1</v>
      </c>
      <c r="C399" s="100" t="s">
        <v>260</v>
      </c>
      <c r="D399" s="101">
        <f t="shared" ref="D399:D407" si="162">ROUND(J399*K399/10000,2)</f>
        <v>18.75</v>
      </c>
      <c r="E399" s="101"/>
      <c r="F399" s="21"/>
      <c r="G399" s="103"/>
      <c r="H399" s="102">
        <f t="shared" ref="H399:H407" si="163">SUM(D399:G399)</f>
        <v>18.75</v>
      </c>
      <c r="I399" s="103" t="s">
        <v>34</v>
      </c>
      <c r="J399" s="35">
        <f>375</f>
        <v>375</v>
      </c>
      <c r="K399" s="101">
        <f>500000/1000</f>
        <v>500</v>
      </c>
      <c r="L399" s="23"/>
      <c r="M399" s="151"/>
      <c r="N399" s="33">
        <f t="shared" ref="N399:N407" si="164">K399/1.05*1.03</f>
        <v>490.47619047619</v>
      </c>
      <c r="O399" s="152">
        <v>63</v>
      </c>
      <c r="P399" s="20"/>
      <c r="Q399" s="20"/>
      <c r="R399" s="20"/>
      <c r="S399" s="20"/>
      <c r="T399" s="20"/>
      <c r="U399" s="20"/>
      <c r="W399" s="2"/>
    </row>
    <row r="400" ht="15" customHeight="1" spans="2:25">
      <c r="B400" s="150">
        <v>2</v>
      </c>
      <c r="C400" s="100" t="s">
        <v>261</v>
      </c>
      <c r="D400" s="101">
        <f t="shared" si="162"/>
        <v>0</v>
      </c>
      <c r="E400" s="101"/>
      <c r="F400" s="21"/>
      <c r="G400" s="103"/>
      <c r="H400" s="102">
        <f t="shared" si="163"/>
        <v>0</v>
      </c>
      <c r="I400" s="103" t="s">
        <v>49</v>
      </c>
      <c r="J400" s="35">
        <f t="shared" ref="J400:J405" si="165">SUM(P400:T400)</f>
        <v>0</v>
      </c>
      <c r="K400" s="101">
        <v>66111.6094285714</v>
      </c>
      <c r="L400" s="23"/>
      <c r="M400" s="151"/>
      <c r="N400" s="33">
        <f t="shared" si="164"/>
        <v>64852.340677551</v>
      </c>
      <c r="O400" s="152">
        <v>67395.33</v>
      </c>
      <c r="P400" s="20"/>
      <c r="Q400" s="20"/>
      <c r="R400" s="20"/>
      <c r="S400" s="20"/>
      <c r="T400" s="20"/>
      <c r="U400" s="20"/>
      <c r="W400" s="2"/>
    </row>
    <row r="401" ht="15" customHeight="1" spans="2:24">
      <c r="B401" s="150">
        <v>3</v>
      </c>
      <c r="C401" s="100" t="s">
        <v>262</v>
      </c>
      <c r="D401" s="101">
        <f t="shared" si="162"/>
        <v>0</v>
      </c>
      <c r="E401" s="101"/>
      <c r="F401" s="21"/>
      <c r="G401" s="103"/>
      <c r="H401" s="102">
        <f t="shared" si="163"/>
        <v>0</v>
      </c>
      <c r="I401" s="103" t="s">
        <v>49</v>
      </c>
      <c r="J401" s="35">
        <f t="shared" si="165"/>
        <v>0</v>
      </c>
      <c r="K401" s="101">
        <v>18836.2476190476</v>
      </c>
      <c r="L401" s="23"/>
      <c r="M401" s="151"/>
      <c r="N401" s="33">
        <f t="shared" si="164"/>
        <v>18477.4619501134</v>
      </c>
      <c r="O401" s="152">
        <v>19202</v>
      </c>
      <c r="P401" s="20"/>
      <c r="Q401" s="20"/>
      <c r="R401" s="20"/>
      <c r="S401" s="20"/>
      <c r="T401" s="20"/>
      <c r="U401" s="20"/>
      <c r="W401" s="2"/>
    </row>
    <row r="402" ht="15" customHeight="1" spans="2:24">
      <c r="B402" s="150">
        <v>4</v>
      </c>
      <c r="C402" s="100" t="s">
        <v>263</v>
      </c>
      <c r="D402" s="101">
        <f t="shared" si="162"/>
        <v>0</v>
      </c>
      <c r="E402" s="101"/>
      <c r="F402" s="21"/>
      <c r="G402" s="103"/>
      <c r="H402" s="102">
        <f t="shared" si="163"/>
        <v>0</v>
      </c>
      <c r="I402" s="103" t="s">
        <v>49</v>
      </c>
      <c r="J402" s="35">
        <f t="shared" si="165"/>
        <v>0</v>
      </c>
      <c r="K402" s="101">
        <v>16667.3619047619</v>
      </c>
      <c r="L402" s="23"/>
      <c r="M402" s="151"/>
      <c r="N402" s="33">
        <f t="shared" si="164"/>
        <v>16349.8883446712</v>
      </c>
      <c r="O402" s="152">
        <v>16991</v>
      </c>
      <c r="P402" s="20"/>
      <c r="Q402" s="20"/>
      <c r="R402" s="20"/>
      <c r="S402" s="20"/>
      <c r="T402" s="20"/>
      <c r="U402" s="20"/>
      <c r="W402" s="2"/>
    </row>
    <row r="403" ht="15" customHeight="1" spans="2:24">
      <c r="B403" s="150">
        <v>5</v>
      </c>
      <c r="C403" s="100" t="s">
        <v>264</v>
      </c>
      <c r="D403" s="101">
        <f t="shared" si="162"/>
        <v>0</v>
      </c>
      <c r="E403" s="101"/>
      <c r="F403" s="21"/>
      <c r="G403" s="103"/>
      <c r="H403" s="102">
        <f t="shared" si="163"/>
        <v>0</v>
      </c>
      <c r="I403" s="103" t="s">
        <v>49</v>
      </c>
      <c r="J403" s="35">
        <f t="shared" si="165"/>
        <v>0</v>
      </c>
      <c r="K403" s="101">
        <v>5232.4</v>
      </c>
      <c r="L403" s="23"/>
      <c r="M403" s="151"/>
      <c r="N403" s="33">
        <f t="shared" si="164"/>
        <v>5132.73523809524</v>
      </c>
      <c r="O403" s="152">
        <v>5334</v>
      </c>
      <c r="P403" s="20"/>
      <c r="Q403" s="20"/>
      <c r="R403" s="20"/>
      <c r="S403" s="20"/>
      <c r="T403" s="20"/>
      <c r="U403" s="20"/>
      <c r="W403" s="2"/>
    </row>
    <row r="404" ht="15" customHeight="1" spans="2:24">
      <c r="B404" s="150">
        <v>6</v>
      </c>
      <c r="C404" s="100" t="s">
        <v>265</v>
      </c>
      <c r="D404" s="101">
        <f t="shared" si="162"/>
        <v>0</v>
      </c>
      <c r="E404" s="101"/>
      <c r="F404" s="21"/>
      <c r="G404" s="103"/>
      <c r="H404" s="102">
        <f t="shared" si="163"/>
        <v>0</v>
      </c>
      <c r="I404" s="103" t="s">
        <v>49</v>
      </c>
      <c r="J404" s="35">
        <f t="shared" si="165"/>
        <v>0</v>
      </c>
      <c r="K404" s="101">
        <v>1422.62619047619</v>
      </c>
      <c r="L404" s="23"/>
      <c r="M404" s="151"/>
      <c r="N404" s="33">
        <f t="shared" si="164"/>
        <v>1395.52854875283</v>
      </c>
      <c r="O404" s="152">
        <v>1450.25</v>
      </c>
      <c r="P404" s="20"/>
      <c r="Q404" s="20"/>
      <c r="R404" s="20"/>
      <c r="S404" s="20"/>
      <c r="T404" s="20"/>
      <c r="U404" s="20"/>
      <c r="W404" s="2"/>
    </row>
    <row r="405" ht="15" customHeight="1" spans="2:24">
      <c r="B405" s="150">
        <v>7</v>
      </c>
      <c r="C405" s="40" t="s">
        <v>266</v>
      </c>
      <c r="D405" s="101">
        <f t="shared" si="162"/>
        <v>0</v>
      </c>
      <c r="E405" s="101"/>
      <c r="F405" s="35"/>
      <c r="G405" s="102"/>
      <c r="H405" s="102">
        <f t="shared" si="163"/>
        <v>0</v>
      </c>
      <c r="I405" s="103" t="s">
        <v>49</v>
      </c>
      <c r="J405" s="35">
        <f t="shared" si="165"/>
        <v>0</v>
      </c>
      <c r="K405" s="101">
        <v>1906.97142857143</v>
      </c>
      <c r="L405" s="153"/>
      <c r="M405" s="105"/>
      <c r="N405" s="33">
        <f t="shared" si="164"/>
        <v>1870.64816326531</v>
      </c>
      <c r="O405" s="133">
        <v>1944</v>
      </c>
      <c r="P405" s="20"/>
      <c r="Q405" s="20"/>
      <c r="R405" s="20"/>
      <c r="S405" s="20"/>
      <c r="T405" s="20"/>
      <c r="U405" s="20"/>
      <c r="W405" s="2"/>
    </row>
    <row r="406" ht="15" customHeight="1" spans="2:24">
      <c r="B406" s="150">
        <v>8</v>
      </c>
      <c r="C406" s="40" t="s">
        <v>267</v>
      </c>
      <c r="D406" s="101">
        <f t="shared" si="162"/>
        <v>0</v>
      </c>
      <c r="E406" s="101"/>
      <c r="F406" s="35"/>
      <c r="G406" s="102"/>
      <c r="H406" s="102">
        <f t="shared" si="163"/>
        <v>0</v>
      </c>
      <c r="I406" s="103" t="s">
        <v>34</v>
      </c>
      <c r="J406" s="35"/>
      <c r="K406" s="101">
        <v>387</v>
      </c>
      <c r="L406" s="153"/>
      <c r="M406" s="105"/>
      <c r="N406" s="33">
        <f t="shared" si="164"/>
        <v>379.628571428571</v>
      </c>
      <c r="O406" s="133">
        <v>283.16</v>
      </c>
      <c r="P406" s="20"/>
      <c r="Q406" s="20"/>
      <c r="R406" s="20"/>
      <c r="S406" s="20"/>
      <c r="T406" s="20"/>
      <c r="U406" s="20"/>
      <c r="W406" s="2"/>
    </row>
    <row r="407" ht="15" customHeight="1" spans="2:24">
      <c r="B407" s="150">
        <v>9</v>
      </c>
      <c r="C407" s="40" t="s">
        <v>268</v>
      </c>
      <c r="D407" s="101">
        <f t="shared" si="162"/>
        <v>13.18</v>
      </c>
      <c r="E407" s="101"/>
      <c r="F407" s="35"/>
      <c r="G407" s="102"/>
      <c r="H407" s="102">
        <f t="shared" si="163"/>
        <v>13.18</v>
      </c>
      <c r="I407" s="103" t="s">
        <v>34</v>
      </c>
      <c r="J407" s="35">
        <v>425</v>
      </c>
      <c r="K407" s="101">
        <v>310</v>
      </c>
      <c r="L407" s="153"/>
      <c r="M407" s="105"/>
      <c r="N407" s="33">
        <f t="shared" si="164"/>
        <v>304.095238095238</v>
      </c>
      <c r="O407" s="133">
        <v>283.16</v>
      </c>
      <c r="P407" s="20"/>
      <c r="Q407" s="20"/>
      <c r="R407" s="20"/>
      <c r="S407" s="20"/>
      <c r="T407" s="20"/>
      <c r="U407" s="20"/>
      <c r="W407" s="2"/>
    </row>
    <row r="408" ht="15" customHeight="1" spans="2:24">
      <c r="B408" s="154" t="s">
        <v>89</v>
      </c>
      <c r="C408" s="155" t="s">
        <v>269</v>
      </c>
      <c r="D408" s="45">
        <f t="shared" ref="D408:H408" si="166">SUM(D409:D409)</f>
        <v>0</v>
      </c>
      <c r="E408" s="45">
        <f t="shared" si="166"/>
        <v>0</v>
      </c>
      <c r="F408" s="45">
        <f t="shared" si="166"/>
        <v>0</v>
      </c>
      <c r="G408" s="45">
        <f t="shared" si="166"/>
        <v>0</v>
      </c>
      <c r="H408" s="45">
        <f t="shared" si="166"/>
        <v>0</v>
      </c>
      <c r="I408" s="28" t="s">
        <v>17</v>
      </c>
      <c r="J408" s="28">
        <f>J334</f>
        <v>0.375</v>
      </c>
      <c r="K408" s="29">
        <f>H408*10000/J408</f>
        <v>0</v>
      </c>
      <c r="L408" s="107"/>
      <c r="M408" s="105"/>
      <c r="N408" s="33"/>
      <c r="O408" s="33"/>
      <c r="P408" s="20"/>
      <c r="Q408" s="20"/>
      <c r="R408" s="20"/>
      <c r="S408" s="20"/>
      <c r="T408" s="20"/>
      <c r="U408" s="20"/>
      <c r="V408" s="20"/>
      <c r="W408" s="2"/>
    </row>
    <row r="409" ht="15" customHeight="1" spans="2:24">
      <c r="B409" s="150">
        <v>1</v>
      </c>
      <c r="C409" s="156" t="s">
        <v>269</v>
      </c>
      <c r="D409" s="45"/>
      <c r="E409" s="101">
        <f>ROUND(J409*K409/10000,2)</f>
        <v>0</v>
      </c>
      <c r="F409" s="21"/>
      <c r="G409" s="103"/>
      <c r="H409" s="102">
        <f>SUM(D409:G409)</f>
        <v>0</v>
      </c>
      <c r="I409" s="35" t="s">
        <v>49</v>
      </c>
      <c r="J409" s="35">
        <v>0</v>
      </c>
      <c r="K409" s="101">
        <v>490476.19047619</v>
      </c>
      <c r="L409" s="107"/>
      <c r="M409" s="105"/>
      <c r="N409" s="33">
        <f>K409/1.05*1.03</f>
        <v>481133.786848072</v>
      </c>
      <c r="O409" s="133">
        <v>500000</v>
      </c>
      <c r="P409" s="20"/>
      <c r="Q409" s="20"/>
      <c r="R409" s="20"/>
      <c r="S409" s="20"/>
      <c r="T409" s="20"/>
      <c r="U409" s="20"/>
      <c r="V409" s="20"/>
      <c r="W409" s="2"/>
    </row>
    <row r="410" ht="21" customHeight="1" spans="2:24">
      <c r="B410" s="165" t="s">
        <v>98</v>
      </c>
      <c r="C410" s="44" t="s">
        <v>99</v>
      </c>
      <c r="D410" s="45"/>
      <c r="E410" s="45"/>
      <c r="F410" s="45"/>
      <c r="G410" s="46">
        <f>SUM(G411,G423:G445)</f>
        <v>1801.05970727941</v>
      </c>
      <c r="H410" s="47">
        <f t="shared" ref="H410:H425" si="167">G410</f>
        <v>1801.05970727941</v>
      </c>
      <c r="I410" s="43" t="str">
        <f>I4</f>
        <v>km</v>
      </c>
      <c r="J410" s="48">
        <f>J4</f>
        <v>4.775</v>
      </c>
      <c r="K410" s="29">
        <f>H410/J410*10000</f>
        <v>3771852.79011395</v>
      </c>
      <c r="L410" s="49">
        <f>+H410/H453</f>
        <v>0.115008511429575</v>
      </c>
      <c r="M410" s="166"/>
      <c r="N410" s="51"/>
      <c r="O410" s="51"/>
      <c r="P410" s="20"/>
      <c r="Q410" s="20"/>
      <c r="R410" s="52"/>
      <c r="U410" s="20"/>
      <c r="V410" s="20"/>
      <c r="W410" s="52"/>
    </row>
    <row r="411" ht="16.5" customHeight="1" spans="2:24">
      <c r="B411" s="167">
        <v>1</v>
      </c>
      <c r="C411" s="168" t="s">
        <v>100</v>
      </c>
      <c r="D411" s="169"/>
      <c r="E411" s="170"/>
      <c r="F411" s="170"/>
      <c r="G411" s="36">
        <f>J411*K411</f>
        <v>0</v>
      </c>
      <c r="H411" s="36">
        <f t="shared" si="167"/>
        <v>0</v>
      </c>
      <c r="I411" s="57" t="s">
        <v>102</v>
      </c>
      <c r="J411" s="36"/>
      <c r="K411" s="36">
        <f t="shared" ref="K411:K422" si="168">0</f>
        <v>0</v>
      </c>
      <c r="L411" s="58"/>
      <c r="M411" s="171"/>
      <c r="N411" s="172"/>
      <c r="O411" s="172"/>
      <c r="P411" s="173"/>
      <c r="Q411" s="173"/>
      <c r="R411" s="174"/>
      <c r="U411" s="173"/>
      <c r="V411" s="172"/>
      <c r="W411" s="174"/>
    </row>
    <row r="412" ht="16.5" customHeight="1" spans="2:24">
      <c r="B412" s="167" t="s">
        <v>304</v>
      </c>
      <c r="C412" s="54" t="s">
        <v>103</v>
      </c>
      <c r="D412" s="55"/>
      <c r="E412" s="55"/>
      <c r="F412" s="55"/>
      <c r="G412" s="57">
        <f>G413</f>
        <v>0</v>
      </c>
      <c r="H412" s="57">
        <f t="shared" si="167"/>
        <v>0</v>
      </c>
      <c r="I412" s="175"/>
      <c r="J412" s="53"/>
      <c r="K412" s="176"/>
      <c r="L412" s="58"/>
      <c r="M412" s="171"/>
      <c r="N412" s="177"/>
      <c r="O412" s="177"/>
      <c r="R412" s="174"/>
      <c r="V412" s="4"/>
      <c r="W412" s="174"/>
    </row>
    <row r="413" ht="16.5" customHeight="1" spans="2:24">
      <c r="B413" s="167" t="s">
        <v>305</v>
      </c>
      <c r="C413" s="54" t="s">
        <v>105</v>
      </c>
      <c r="D413" s="55"/>
      <c r="E413" s="55"/>
      <c r="F413" s="55"/>
      <c r="G413" s="57">
        <f t="shared" ref="G413:G422" si="169">ROUND(J413*K413/10000,2)</f>
        <v>0</v>
      </c>
      <c r="H413" s="178">
        <f t="shared" si="167"/>
        <v>0</v>
      </c>
      <c r="I413" s="175" t="s">
        <v>102</v>
      </c>
      <c r="J413" s="53"/>
      <c r="K413" s="176">
        <f t="shared" si="168"/>
        <v>0</v>
      </c>
      <c r="L413" s="58"/>
      <c r="M413" s="171"/>
      <c r="N413" s="172"/>
      <c r="O413" s="172"/>
      <c r="P413" s="173"/>
      <c r="Q413" s="179"/>
      <c r="R413" s="180"/>
      <c r="S413" s="181"/>
      <c r="U413" s="173"/>
      <c r="V413" s="182"/>
      <c r="W413" s="180"/>
      <c r="X413" s="183"/>
    </row>
    <row r="414" ht="16.5" customHeight="1" spans="2:24">
      <c r="B414" s="167" t="s">
        <v>306</v>
      </c>
      <c r="C414" s="54" t="s">
        <v>108</v>
      </c>
      <c r="D414" s="55"/>
      <c r="E414" s="55"/>
      <c r="F414" s="55"/>
      <c r="G414" s="57">
        <f>SUM(G415:G422)</f>
        <v>0</v>
      </c>
      <c r="H414" s="178">
        <f t="shared" si="167"/>
        <v>0</v>
      </c>
      <c r="I414" s="175"/>
      <c r="J414" s="53"/>
      <c r="K414" s="176"/>
      <c r="L414" s="58"/>
      <c r="M414" s="171"/>
      <c r="N414" s="172"/>
      <c r="O414" s="172"/>
      <c r="P414" s="174"/>
      <c r="Q414" s="174"/>
      <c r="R414" s="174"/>
      <c r="U414" s="174"/>
      <c r="V414" s="184"/>
      <c r="W414" s="174"/>
    </row>
    <row r="415" ht="16.5" customHeight="1" spans="2:24">
      <c r="B415" s="167" t="s">
        <v>104</v>
      </c>
      <c r="C415" s="54" t="s">
        <v>110</v>
      </c>
      <c r="D415" s="55"/>
      <c r="E415" s="55"/>
      <c r="F415" s="55"/>
      <c r="G415" s="57">
        <f t="shared" si="169"/>
        <v>0</v>
      </c>
      <c r="H415" s="178">
        <f t="shared" si="167"/>
        <v>0</v>
      </c>
      <c r="I415" s="175" t="e">
        <f>#REF!</f>
        <v>#REF!</v>
      </c>
      <c r="J415" s="175"/>
      <c r="K415" s="185">
        <f t="shared" si="168"/>
        <v>0</v>
      </c>
      <c r="L415" s="58"/>
      <c r="M415" s="171"/>
      <c r="N415" s="172"/>
      <c r="O415" s="172"/>
      <c r="P415" s="173"/>
      <c r="Q415" s="173"/>
      <c r="R415" s="174"/>
      <c r="S415" s="181"/>
      <c r="U415" s="173"/>
      <c r="V415" s="172"/>
      <c r="W415" s="174"/>
      <c r="X415" s="183"/>
    </row>
    <row r="416" ht="16.5" customHeight="1" spans="2:24">
      <c r="B416" s="167" t="s">
        <v>106</v>
      </c>
      <c r="C416" s="54" t="s">
        <v>307</v>
      </c>
      <c r="D416" s="55"/>
      <c r="E416" s="55"/>
      <c r="F416" s="55"/>
      <c r="G416" s="57">
        <f t="shared" si="169"/>
        <v>0</v>
      </c>
      <c r="H416" s="178">
        <f t="shared" si="167"/>
        <v>0</v>
      </c>
      <c r="I416" s="175" t="e">
        <f>#REF!</f>
        <v>#REF!</v>
      </c>
      <c r="J416" s="175"/>
      <c r="K416" s="185">
        <f t="shared" si="168"/>
        <v>0</v>
      </c>
      <c r="L416" s="58"/>
      <c r="M416" s="171"/>
      <c r="N416" s="172"/>
      <c r="O416" s="172"/>
      <c r="P416" s="173"/>
      <c r="Q416" s="173"/>
      <c r="R416" s="174"/>
      <c r="U416" s="173"/>
      <c r="V416" s="172"/>
      <c r="W416" s="174"/>
    </row>
    <row r="417" ht="16.5" customHeight="1" spans="2:23">
      <c r="B417" s="167" t="s">
        <v>308</v>
      </c>
      <c r="C417" s="54" t="s">
        <v>113</v>
      </c>
      <c r="D417" s="55"/>
      <c r="E417" s="55"/>
      <c r="F417" s="55"/>
      <c r="G417" s="57">
        <f t="shared" si="169"/>
        <v>0</v>
      </c>
      <c r="H417" s="178">
        <f t="shared" si="167"/>
        <v>0</v>
      </c>
      <c r="I417" s="175" t="e">
        <f>#REF!</f>
        <v>#REF!</v>
      </c>
      <c r="J417" s="175"/>
      <c r="K417" s="185">
        <f t="shared" si="168"/>
        <v>0</v>
      </c>
      <c r="L417" s="58"/>
      <c r="M417" s="171"/>
      <c r="N417" s="172"/>
      <c r="O417" s="172"/>
      <c r="P417" s="173"/>
      <c r="Q417" s="173"/>
      <c r="R417" s="174"/>
      <c r="U417" s="173"/>
      <c r="V417" s="172"/>
      <c r="W417" s="174"/>
    </row>
    <row r="418" ht="16.5" customHeight="1" spans="2:23">
      <c r="B418" s="167" t="s">
        <v>309</v>
      </c>
      <c r="C418" s="54" t="s">
        <v>115</v>
      </c>
      <c r="D418" s="55"/>
      <c r="E418" s="55"/>
      <c r="F418" s="55"/>
      <c r="G418" s="57">
        <f t="shared" si="169"/>
        <v>0</v>
      </c>
      <c r="H418" s="178">
        <f t="shared" si="167"/>
        <v>0</v>
      </c>
      <c r="I418" s="175" t="e">
        <f>#REF!</f>
        <v>#REF!</v>
      </c>
      <c r="J418" s="175"/>
      <c r="K418" s="185">
        <f t="shared" si="168"/>
        <v>0</v>
      </c>
      <c r="L418" s="58"/>
      <c r="M418" s="171"/>
      <c r="N418" s="172"/>
      <c r="O418" s="172"/>
      <c r="P418" s="173"/>
      <c r="Q418" s="173"/>
      <c r="R418" s="174"/>
      <c r="U418" s="173"/>
      <c r="V418" s="172"/>
      <c r="W418" s="174"/>
    </row>
    <row r="419" ht="16.5" customHeight="1" spans="2:23">
      <c r="B419" s="167" t="s">
        <v>310</v>
      </c>
      <c r="C419" s="54" t="s">
        <v>125</v>
      </c>
      <c r="D419" s="55"/>
      <c r="E419" s="55"/>
      <c r="F419" s="55"/>
      <c r="G419" s="57">
        <f t="shared" si="169"/>
        <v>0</v>
      </c>
      <c r="H419" s="178">
        <f t="shared" si="167"/>
        <v>0</v>
      </c>
      <c r="I419" s="175" t="e">
        <f>#REF!</f>
        <v>#REF!</v>
      </c>
      <c r="J419" s="175"/>
      <c r="K419" s="185">
        <f t="shared" si="168"/>
        <v>0</v>
      </c>
      <c r="L419" s="58"/>
      <c r="M419" s="171"/>
      <c r="N419" s="172"/>
      <c r="O419" s="172"/>
      <c r="P419" s="173"/>
      <c r="Q419" s="173"/>
      <c r="R419" s="174"/>
      <c r="U419" s="173"/>
      <c r="V419" s="172"/>
      <c r="W419" s="174"/>
    </row>
    <row r="420" ht="16.5" customHeight="1" spans="2:23">
      <c r="B420" s="167" t="s">
        <v>311</v>
      </c>
      <c r="C420" s="54" t="s">
        <v>121</v>
      </c>
      <c r="D420" s="55"/>
      <c r="E420" s="55"/>
      <c r="F420" s="55"/>
      <c r="G420" s="57">
        <f t="shared" si="169"/>
        <v>0</v>
      </c>
      <c r="H420" s="178">
        <f t="shared" si="167"/>
        <v>0</v>
      </c>
      <c r="I420" s="175" t="e">
        <f>#REF!</f>
        <v>#REF!</v>
      </c>
      <c r="J420" s="175"/>
      <c r="K420" s="185">
        <f t="shared" si="168"/>
        <v>0</v>
      </c>
      <c r="L420" s="58"/>
      <c r="M420" s="171"/>
      <c r="N420" s="172"/>
      <c r="O420" s="172"/>
      <c r="P420" s="173"/>
      <c r="Q420" s="173"/>
      <c r="R420" s="174"/>
      <c r="U420" s="173"/>
      <c r="V420" s="172"/>
      <c r="W420" s="174"/>
    </row>
    <row r="421" ht="16.5" customHeight="1" spans="2:23">
      <c r="B421" s="167" t="s">
        <v>312</v>
      </c>
      <c r="C421" s="54" t="s">
        <v>123</v>
      </c>
      <c r="D421" s="55"/>
      <c r="E421" s="55"/>
      <c r="F421" s="55"/>
      <c r="G421" s="57">
        <f t="shared" si="169"/>
        <v>0</v>
      </c>
      <c r="H421" s="178">
        <f t="shared" si="167"/>
        <v>0</v>
      </c>
      <c r="I421" s="175" t="e">
        <f>#REF!</f>
        <v>#REF!</v>
      </c>
      <c r="J421" s="175"/>
      <c r="K421" s="185">
        <f t="shared" si="168"/>
        <v>0</v>
      </c>
      <c r="L421" s="58"/>
      <c r="M421" s="171"/>
      <c r="N421" s="172"/>
      <c r="O421" s="172"/>
      <c r="P421" s="173"/>
      <c r="Q421" s="173"/>
      <c r="R421" s="174"/>
      <c r="U421" s="173"/>
      <c r="V421" s="172"/>
      <c r="W421" s="174"/>
    </row>
    <row r="422" ht="16.5" customHeight="1" spans="2:23">
      <c r="B422" s="167" t="s">
        <v>313</v>
      </c>
      <c r="C422" s="54" t="s">
        <v>314</v>
      </c>
      <c r="D422" s="55"/>
      <c r="E422" s="55"/>
      <c r="F422" s="55"/>
      <c r="G422" s="57">
        <f t="shared" si="169"/>
        <v>0</v>
      </c>
      <c r="H422" s="178">
        <f t="shared" si="167"/>
        <v>0</v>
      </c>
      <c r="I422" s="175" t="e">
        <f>#REF!</f>
        <v>#REF!</v>
      </c>
      <c r="J422" s="175"/>
      <c r="K422" s="185">
        <f t="shared" si="168"/>
        <v>0</v>
      </c>
      <c r="L422" s="58"/>
      <c r="M422" s="171"/>
      <c r="N422" s="172"/>
      <c r="O422" s="172"/>
      <c r="P422" s="173"/>
      <c r="Q422" s="173"/>
      <c r="R422" s="174"/>
      <c r="U422" s="173"/>
      <c r="V422" s="172"/>
      <c r="W422" s="174"/>
    </row>
    <row r="423" ht="16.5" customHeight="1" spans="2:23">
      <c r="B423" s="186">
        <v>2</v>
      </c>
      <c r="C423" s="54" t="s">
        <v>128</v>
      </c>
      <c r="D423" s="55" t="s">
        <v>315</v>
      </c>
      <c r="E423" s="55"/>
      <c r="F423" s="55"/>
      <c r="G423" s="36">
        <f>(1400000/10000+(H4-100000000/10000)*0.01)</f>
        <v>166.9915</v>
      </c>
      <c r="H423" s="178">
        <f t="shared" si="167"/>
        <v>166.9915</v>
      </c>
      <c r="I423" s="57"/>
      <c r="J423" s="57"/>
      <c r="K423" s="57"/>
      <c r="L423" s="58"/>
      <c r="M423" s="187">
        <f t="shared" ref="M423:M431" si="170">H423/$H$4</f>
        <v>0.0131498171137438</v>
      </c>
      <c r="N423" s="60"/>
      <c r="O423" s="60"/>
      <c r="P423" s="188"/>
      <c r="Q423" s="188"/>
      <c r="R423" s="61"/>
      <c r="U423" s="188"/>
      <c r="V423" s="60"/>
      <c r="W423" s="61"/>
    </row>
    <row r="424" ht="16.5" customHeight="1" spans="2:23">
      <c r="B424" s="186">
        <v>3</v>
      </c>
      <c r="C424" s="54" t="s">
        <v>130</v>
      </c>
      <c r="D424" s="55" t="s">
        <v>131</v>
      </c>
      <c r="E424" s="55"/>
      <c r="F424" s="55"/>
      <c r="G424" s="36">
        <f>IF(H4&lt;=500,16.5/500*H4,IF(AND(H4&gt;500,H4&lt;=1000),16.5+(H4-500)*(30.1-16.5)/500,IF(AND(H4&gt;1000,H4&lt;=3000),30.1+(H4-1000)*(78.1-30.1)/2000,IF(AND(H4&gt;3000,H4&lt;=5000),78.1+(H4-3000)*(120.8-78.1)/2000,IF(AND(H4&gt;5000,H4&lt;=8000),120.8+(H4-5000)*(181-120.8)/3000,IF(AND(H4&gt;8000,H4&lt;=10000),181+(H4-8000)*(218.6-181)/2000,IF(AND(H4&gt;10000,H4&lt;=20000),218.6+(H4-10000)*(393.4-218.6)/10000,IF(AND(H4&gt;20000,H4&lt;=40000),393.4+(H4-20000)*(708.2-393.4)/20000))))))))</f>
        <v>265.781142</v>
      </c>
      <c r="H424" s="178">
        <f t="shared" si="167"/>
        <v>265.781142</v>
      </c>
      <c r="I424" s="57"/>
      <c r="J424" s="57"/>
      <c r="K424" s="57"/>
      <c r="L424" s="58"/>
      <c r="M424" s="187">
        <f t="shared" si="170"/>
        <v>0.0209290497395495</v>
      </c>
      <c r="N424" s="60"/>
      <c r="O424" s="60"/>
      <c r="P424" s="188"/>
      <c r="Q424" s="188"/>
      <c r="R424" s="61"/>
      <c r="U424" s="188"/>
      <c r="V424" s="60"/>
      <c r="W424" s="61"/>
    </row>
    <row r="425" ht="16.5" customHeight="1" spans="2:23">
      <c r="B425" s="186">
        <v>4</v>
      </c>
      <c r="C425" s="54" t="s">
        <v>132</v>
      </c>
      <c r="D425" s="55" t="s">
        <v>316</v>
      </c>
      <c r="E425" s="55"/>
      <c r="F425" s="55"/>
      <c r="G425" s="36">
        <f>ROUND(500*(5*2+4.8)+500*(4.6*2+4.3)+4000*(4.2*2+3.8)+5000*(4*2+3.6)+(H4-10000)*(3.6*2+3.2),2)/1000</f>
        <v>149.02116</v>
      </c>
      <c r="H425" s="178">
        <f t="shared" si="167"/>
        <v>149.02116</v>
      </c>
      <c r="I425" s="57"/>
      <c r="J425" s="57"/>
      <c r="K425" s="57"/>
      <c r="L425" s="58"/>
      <c r="M425" s="187">
        <f t="shared" si="170"/>
        <v>0.011734735001949</v>
      </c>
      <c r="N425" s="60"/>
      <c r="O425" s="60"/>
      <c r="P425" s="188"/>
      <c r="Q425" s="188"/>
      <c r="R425" s="61"/>
      <c r="U425" s="188"/>
      <c r="V425" s="60"/>
      <c r="W425" s="61"/>
    </row>
    <row r="426" ht="16.5" customHeight="1" spans="2:23">
      <c r="B426" s="186">
        <v>5</v>
      </c>
      <c r="C426" s="54" t="s">
        <v>134</v>
      </c>
      <c r="D426" s="55" t="s">
        <v>135</v>
      </c>
      <c r="E426" s="55"/>
      <c r="F426" s="55"/>
      <c r="G426" s="36">
        <f>IF(H4&lt;=1000,H4*(2.5-1)/1000+H4*3/1000+H4*1.5/1000,IF(AND(H4&gt;1000,H4&lt;=3000),2.5+(H4-1000)*(6-2.5)/2000+5+(H4-1000)*7/2000+2.5+(H4-1000)*2.5/2000,IF(AND(H4&gt;3000,H4&lt;=10000),6+(H4-3000)*8/7000+12+(H4-3000)*16/7000+5+(H4-3000)*5/7000,IF(AND(H4&gt;10000,H4&lt;=50000),14+(H4-10000)*23/40000+28+(H4-10000)*47/40000+10+(H4-10000)*5/40000))))</f>
        <v>57.06090625</v>
      </c>
      <c r="H426" s="178">
        <f t="shared" ref="H426:H431" si="171">G426</f>
        <v>57.06090625</v>
      </c>
      <c r="I426" s="57"/>
      <c r="J426" s="57"/>
      <c r="K426" s="57"/>
      <c r="L426" s="58"/>
      <c r="M426" s="187">
        <f t="shared" si="170"/>
        <v>0.00449328547579956</v>
      </c>
      <c r="N426" s="60"/>
      <c r="O426" s="60"/>
      <c r="P426" s="188"/>
      <c r="Q426" s="188"/>
      <c r="R426" s="61"/>
      <c r="U426" s="188"/>
      <c r="V426" s="60"/>
      <c r="W426" s="61"/>
    </row>
    <row r="427" ht="16.5" customHeight="1" spans="2:23">
      <c r="B427" s="186">
        <v>6</v>
      </c>
      <c r="C427" s="54" t="s">
        <v>136</v>
      </c>
      <c r="D427" s="55" t="s">
        <v>137</v>
      </c>
      <c r="E427" s="55"/>
      <c r="F427" s="55"/>
      <c r="G427" s="36">
        <f>H4*(0.01)</f>
        <v>126.9915</v>
      </c>
      <c r="H427" s="178">
        <f t="shared" si="171"/>
        <v>126.9915</v>
      </c>
      <c r="I427" s="57"/>
      <c r="J427" s="57"/>
      <c r="K427" s="57"/>
      <c r="L427" s="58"/>
      <c r="M427" s="187">
        <f t="shared" si="170"/>
        <v>0.01</v>
      </c>
      <c r="N427" s="60"/>
      <c r="O427" s="60"/>
      <c r="P427" s="188"/>
      <c r="Q427" s="188"/>
      <c r="R427" s="61"/>
      <c r="U427" s="188"/>
      <c r="V427" s="60"/>
      <c r="W427" s="61"/>
    </row>
    <row r="428" ht="16.5" customHeight="1" spans="2:23">
      <c r="B428" s="186">
        <v>7</v>
      </c>
      <c r="C428" s="54" t="s">
        <v>138</v>
      </c>
      <c r="D428" s="55" t="s">
        <v>139</v>
      </c>
      <c r="E428" s="55"/>
      <c r="F428" s="55"/>
      <c r="G428" s="36">
        <f>(IF(H4&lt;=500,(9+(H4-200)*11.9/300)*1,IF(AND(H4&gt;500,H4&lt;=1000),(20.9+(H4-500)*(38.8-20.9)/500)*1,IF(AND(H4&gt;1000,H4&lt;=3000),(38.8+(H4-1000)*(103.8-38.8)/2000)*1*0.9,IF(AND(H4&gt;3000,H4&lt;=5000),(103.8+(H4-3000)*(163.9-103.8)/2000)*1.1,IF(AND(H4&gt;5000,H4&lt;=8000),(163.9+(H4-5000)*(249.6-163.9)/3000)*1.1,IF(AND(H4&gt;8000,H4&lt;=10000),(249.6+(H4-8000)*(304.8-249.6)/2000)*1,IF(AND(H4&gt;10000,H4&lt;=20000),(304.8+(H4-10000)*(566.8-304.8)/10000),IF(AND(H4&gt;20000,H4&lt;=40000),(566.8+(H4-20000)*(1054-566.8)/20000))))))))))</f>
        <v>375.51773</v>
      </c>
      <c r="H428" s="178">
        <f t="shared" si="171"/>
        <v>375.51773</v>
      </c>
      <c r="I428" s="57"/>
      <c r="J428" s="57"/>
      <c r="K428" s="57"/>
      <c r="L428" s="58"/>
      <c r="M428" s="187">
        <f t="shared" si="170"/>
        <v>0.0295703043117059</v>
      </c>
      <c r="N428" s="60"/>
      <c r="O428" s="60"/>
      <c r="P428" s="188"/>
      <c r="Q428" s="188"/>
      <c r="R428" s="61"/>
      <c r="U428" s="188"/>
      <c r="V428" s="60"/>
      <c r="W428" s="61"/>
    </row>
    <row r="429" ht="16.5" customHeight="1" spans="2:23">
      <c r="B429" s="186">
        <v>8</v>
      </c>
      <c r="C429" s="54" t="s">
        <v>140</v>
      </c>
      <c r="D429" s="55" t="s">
        <v>141</v>
      </c>
      <c r="E429" s="55"/>
      <c r="F429" s="55"/>
      <c r="G429" s="36">
        <f>IF(H4&lt;3000,5+1/3000*H4+0.8+0.7/3000*H4,IF(AND(H4&gt;=3000,H4&lt;20000),6+9/17000*(H4-3000)+1.5+1.5/17000*(H4-30000),IF(AND(H4&gt;=20000,H4&lt;100000),15+20/80000*(H4-20000)+3+4/80000*(H4-20000))))</f>
        <v>11.1082985294118</v>
      </c>
      <c r="H429" s="178">
        <f t="shared" si="171"/>
        <v>11.1082985294118</v>
      </c>
      <c r="I429" s="57"/>
      <c r="J429" s="57"/>
      <c r="K429" s="57"/>
      <c r="L429" s="58"/>
      <c r="M429" s="187">
        <f t="shared" si="170"/>
        <v>0.000874727720312916</v>
      </c>
      <c r="N429" s="60"/>
      <c r="O429" s="60"/>
      <c r="P429" s="188"/>
      <c r="Q429" s="188"/>
      <c r="R429" s="61"/>
      <c r="U429" s="188"/>
      <c r="V429" s="60"/>
      <c r="W429" s="61"/>
    </row>
    <row r="430" ht="16.5" customHeight="1" spans="2:23">
      <c r="B430" s="186">
        <v>9</v>
      </c>
      <c r="C430" s="54" t="s">
        <v>142</v>
      </c>
      <c r="D430" s="55" t="s">
        <v>143</v>
      </c>
      <c r="E430" s="55"/>
      <c r="F430" s="55"/>
      <c r="G430" s="36">
        <f>800000/10000</f>
        <v>80</v>
      </c>
      <c r="H430" s="178">
        <f t="shared" si="171"/>
        <v>80</v>
      </c>
      <c r="I430" s="57"/>
      <c r="J430" s="57"/>
      <c r="K430" s="57"/>
      <c r="L430" s="58"/>
      <c r="M430" s="187">
        <f t="shared" si="170"/>
        <v>0.00629963422748767</v>
      </c>
      <c r="N430" s="60"/>
      <c r="O430" s="60"/>
      <c r="P430" s="188"/>
      <c r="Q430" s="188"/>
      <c r="R430" s="61"/>
      <c r="U430" s="188"/>
      <c r="V430" s="60"/>
      <c r="W430" s="61"/>
    </row>
    <row r="431" ht="16.5" customHeight="1" spans="2:23">
      <c r="B431" s="186">
        <v>10</v>
      </c>
      <c r="C431" s="54" t="s">
        <v>317</v>
      </c>
      <c r="D431" s="55" t="s">
        <v>318</v>
      </c>
      <c r="E431" s="55"/>
      <c r="F431" s="55"/>
      <c r="G431" s="36">
        <f>IF(H4&lt;=5000,30/5000*H4,IF(AND(H4&gt;5000,H4&lt;=10000),30+22/5000*(H4-5000),IF(AND(H4&gt;10000,H4&lt;=20000),52+20/10000*(H4-10000),IF(AND(H4&gt;20000,H4&lt;=30000),72+10/10000*(H4-20000),IF(AND(H4&gt;30000,H4&lt;=40000),82+13/10000*(H4-30000))))))</f>
        <v>57.3983</v>
      </c>
      <c r="H431" s="178">
        <f t="shared" si="171"/>
        <v>57.3983</v>
      </c>
      <c r="I431" s="57"/>
      <c r="J431" s="57"/>
      <c r="K431" s="57"/>
      <c r="L431" s="58"/>
      <c r="M431" s="187">
        <f t="shared" si="170"/>
        <v>0.00451985369099507</v>
      </c>
      <c r="N431" s="60"/>
      <c r="O431" s="60"/>
      <c r="P431" s="188"/>
      <c r="Q431" s="188"/>
      <c r="R431" s="61"/>
      <c r="U431" s="188"/>
      <c r="V431" s="60"/>
      <c r="W431" s="61"/>
    </row>
    <row r="432" ht="16.5" customHeight="1" spans="2:23">
      <c r="B432" s="186">
        <v>11</v>
      </c>
      <c r="C432" s="54" t="s">
        <v>144</v>
      </c>
      <c r="D432" s="55" t="s">
        <v>145</v>
      </c>
      <c r="E432" s="55"/>
      <c r="F432" s="55"/>
      <c r="G432" s="36">
        <f>H4*0.3%</f>
        <v>38.09745</v>
      </c>
      <c r="H432" s="178">
        <f t="shared" ref="H432:H447" si="172">G432</f>
        <v>38.09745</v>
      </c>
      <c r="I432" s="57"/>
      <c r="J432" s="57"/>
      <c r="K432" s="57"/>
      <c r="L432" s="58"/>
      <c r="M432" s="187">
        <f t="shared" ref="M432:M445" si="173">H432/$H$4</f>
        <v>0.003</v>
      </c>
      <c r="N432" s="60"/>
      <c r="O432" s="60"/>
      <c r="P432" s="188"/>
      <c r="Q432" s="188"/>
      <c r="R432" s="61"/>
      <c r="U432" s="188"/>
      <c r="V432" s="60"/>
      <c r="W432" s="61"/>
    </row>
    <row r="433" ht="16.5" customHeight="1" spans="2:23">
      <c r="B433" s="186">
        <v>12</v>
      </c>
      <c r="C433" s="54" t="s">
        <v>146</v>
      </c>
      <c r="D433" s="55" t="s">
        <v>319</v>
      </c>
      <c r="E433" s="55"/>
      <c r="F433" s="55"/>
      <c r="G433" s="36">
        <f>H4*2%</f>
        <v>253.983</v>
      </c>
      <c r="H433" s="178">
        <f t="shared" si="172"/>
        <v>253.983</v>
      </c>
      <c r="I433" s="57"/>
      <c r="J433" s="57"/>
      <c r="K433" s="57"/>
      <c r="L433" s="58"/>
      <c r="M433" s="187">
        <f t="shared" si="173"/>
        <v>0.02</v>
      </c>
      <c r="N433" s="60"/>
      <c r="O433" s="60"/>
      <c r="P433" s="188"/>
      <c r="Q433" s="188"/>
      <c r="R433" s="61"/>
      <c r="U433" s="188"/>
      <c r="V433" s="60"/>
      <c r="W433" s="61"/>
    </row>
    <row r="434" ht="16.5" customHeight="1" spans="2:23">
      <c r="B434" s="186">
        <v>13</v>
      </c>
      <c r="C434" s="54" t="s">
        <v>147</v>
      </c>
      <c r="D434" s="62" t="s">
        <v>148</v>
      </c>
      <c r="E434" s="62"/>
      <c r="F434" s="62"/>
      <c r="G434" s="36">
        <f>H4*0.4%</f>
        <v>50.7966</v>
      </c>
      <c r="H434" s="178">
        <f t="shared" si="172"/>
        <v>50.7966</v>
      </c>
      <c r="I434" s="57"/>
      <c r="J434" s="57"/>
      <c r="K434" s="57"/>
      <c r="L434" s="58"/>
      <c r="M434" s="187">
        <f t="shared" si="173"/>
        <v>0.004</v>
      </c>
      <c r="N434" s="60"/>
      <c r="O434" s="60"/>
      <c r="P434" s="188"/>
      <c r="Q434" s="188"/>
      <c r="R434" s="61"/>
      <c r="U434" s="188"/>
      <c r="V434" s="60"/>
      <c r="W434" s="61"/>
    </row>
    <row r="435" ht="16.5" customHeight="1" spans="2:23">
      <c r="B435" s="186">
        <v>14</v>
      </c>
      <c r="C435" s="54" t="s">
        <v>149</v>
      </c>
      <c r="D435" s="55" t="s">
        <v>150</v>
      </c>
      <c r="E435" s="55"/>
      <c r="F435" s="55"/>
      <c r="G435" s="36">
        <v>50</v>
      </c>
      <c r="H435" s="178">
        <f t="shared" si="172"/>
        <v>50</v>
      </c>
      <c r="I435" s="57"/>
      <c r="J435" s="57"/>
      <c r="K435" s="57"/>
      <c r="L435" s="58"/>
      <c r="M435" s="187">
        <f t="shared" si="173"/>
        <v>0.00393727139217979</v>
      </c>
      <c r="N435" s="60"/>
      <c r="O435" s="60"/>
      <c r="P435" s="188"/>
      <c r="Q435" s="188"/>
      <c r="R435" s="61"/>
      <c r="U435" s="188"/>
      <c r="V435" s="60"/>
      <c r="W435" s="61"/>
    </row>
    <row r="436" ht="16.5" customHeight="1" spans="2:23">
      <c r="B436" s="186">
        <v>15</v>
      </c>
      <c r="C436" s="54" t="s">
        <v>151</v>
      </c>
      <c r="D436" s="55" t="s">
        <v>316</v>
      </c>
      <c r="E436" s="55"/>
      <c r="F436" s="55"/>
      <c r="G436" s="36">
        <f>IF(H4&lt;500,100*0.01+(H4-100)*0.007,IF(AND(H4&gt;=500,H4&lt;1000),100*0.01+400*0.007+(H4-500)*0.0055,IF(AND(H4&gt;=1000,H4&lt;5000),100*0.01+400*0.007+500*0.0055+(H4-1000)*0.0035,IF(AND(H4&gt;=5000,H4&lt;10000),100*0.01+400*0.007+500*0.0055+4000*0.0035+(H4-5000)*0.002,IF(AND(H4&gt;=10000,H4&lt;100000),100*0.01+400*0.007+500*0.0055+4000*0.0035+5000*0.002+(H4-10000)*0.0005)))))*0+(100*0.01+400*0.007+500*0.0055+4000*0.0035+5000*0.002+(H4-10000)*0.0005)</f>
        <v>31.899575</v>
      </c>
      <c r="H436" s="178">
        <f t="shared" si="172"/>
        <v>31.899575</v>
      </c>
      <c r="I436" s="57"/>
      <c r="J436" s="57"/>
      <c r="K436" s="57"/>
      <c r="L436" s="58"/>
      <c r="M436" s="187">
        <f t="shared" si="173"/>
        <v>0.00251194568140387</v>
      </c>
      <c r="N436" s="60"/>
      <c r="O436" s="60"/>
      <c r="P436" s="188"/>
      <c r="Q436" s="188"/>
      <c r="R436" s="61"/>
      <c r="U436" s="188"/>
      <c r="V436" s="60"/>
      <c r="W436" s="61"/>
    </row>
    <row r="437" ht="16.5" customHeight="1" spans="2:23">
      <c r="B437" s="186">
        <v>16</v>
      </c>
      <c r="C437" s="54" t="s">
        <v>153</v>
      </c>
      <c r="D437" s="55" t="s">
        <v>320</v>
      </c>
      <c r="E437" s="55"/>
      <c r="F437" s="55"/>
      <c r="G437" s="36">
        <f>IF(H4&lt;500,100*0.0018+(H4-100)*0.0015+H427*3.5%,IF(AND(H4&gt;=500,H4&lt;1000),100*0.0018+400*0.0015+(H4-500)*0.0012+H427*3.5%,IF(AND(H4&gt;=1000,H4&lt;4000),100*0.0018+400*0.0015+500*0.0012+(H4-1000)*0.0008+H427*3.5%,IF(AND(H4&gt;=4000,H4&lt;8000),100*0.0018+400*0.0015+500*0.0012+3000*0.0009+(H4-4000)*0.0006+H427*3.5%,IF(AND(H4&gt;=8000,H4&lt;16000),100*0.0018+400*0.0015+500*0.0012+3000*0.0009+4000*0.0006+(H4-8000)*0.0003+H427*3.5%,IF(H4&gt;=16000,100*0.0018+400*0.0015+500*0.0012+3000*0.0009+4000*0.0006+8000*0.0003+(H4-16000)*0.00015+H427*3.5%))))))</f>
        <v>12.3344475</v>
      </c>
      <c r="H437" s="178">
        <f t="shared" si="172"/>
        <v>12.3344475</v>
      </c>
      <c r="I437" s="57"/>
      <c r="J437" s="57"/>
      <c r="K437" s="57"/>
      <c r="L437" s="58"/>
      <c r="M437" s="187">
        <f t="shared" si="173"/>
        <v>0.000971281345601871</v>
      </c>
      <c r="N437" s="60"/>
      <c r="O437" s="60"/>
      <c r="P437" s="188"/>
      <c r="Q437" s="188"/>
      <c r="R437" s="61"/>
      <c r="U437" s="188"/>
      <c r="V437" s="60"/>
      <c r="W437" s="61"/>
    </row>
    <row r="438" ht="16.5" customHeight="1" spans="2:23">
      <c r="B438" s="186">
        <v>17</v>
      </c>
      <c r="C438" s="54" t="s">
        <v>155</v>
      </c>
      <c r="D438" s="55" t="s">
        <v>156</v>
      </c>
      <c r="E438" s="55"/>
      <c r="F438" s="55"/>
      <c r="G438" s="36">
        <f>ROUND((J10+J92+J176+J262+J337)*0.67/10000,2)</f>
        <v>7.83</v>
      </c>
      <c r="H438" s="178">
        <f t="shared" si="172"/>
        <v>7.83</v>
      </c>
      <c r="I438" s="57"/>
      <c r="J438" s="57"/>
      <c r="K438" s="57"/>
      <c r="L438" s="58"/>
      <c r="M438" s="187">
        <f t="shared" si="173"/>
        <v>0.000616576700015355</v>
      </c>
      <c r="N438" s="60"/>
      <c r="O438" s="60"/>
      <c r="P438" s="188"/>
      <c r="Q438" s="188"/>
      <c r="R438" s="61"/>
      <c r="U438" s="188"/>
      <c r="V438" s="60"/>
      <c r="W438" s="61"/>
    </row>
    <row r="439" ht="16.5" customHeight="1" spans="2:23">
      <c r="B439" s="186">
        <v>18</v>
      </c>
      <c r="C439" s="54" t="s">
        <v>321</v>
      </c>
      <c r="D439" s="55" t="s">
        <v>322</v>
      </c>
      <c r="E439" s="55"/>
      <c r="F439" s="55"/>
      <c r="G439" s="36">
        <f>SUM(P11:P12,P93:P94,P177:P178,P263:P264,P338:P339)*5/10000</f>
        <v>31.51958</v>
      </c>
      <c r="H439" s="178">
        <f t="shared" si="172"/>
        <v>31.51958</v>
      </c>
      <c r="I439" s="57"/>
      <c r="J439" s="57"/>
      <c r="K439" s="57"/>
      <c r="L439" s="58"/>
      <c r="M439" s="187">
        <f t="shared" si="173"/>
        <v>0.00248202281255045</v>
      </c>
      <c r="N439" s="60"/>
      <c r="O439" s="60"/>
      <c r="P439" s="188"/>
      <c r="Q439" s="188"/>
      <c r="R439" s="61"/>
      <c r="U439" s="188"/>
      <c r="V439" s="60"/>
      <c r="W439" s="61"/>
    </row>
    <row r="440" ht="16.5" customHeight="1" spans="2:23">
      <c r="B440" s="186">
        <v>19</v>
      </c>
      <c r="C440" s="54" t="s">
        <v>323</v>
      </c>
      <c r="D440" s="189"/>
      <c r="E440" s="190"/>
      <c r="F440" s="191"/>
      <c r="G440" s="36">
        <v>0</v>
      </c>
      <c r="H440" s="178">
        <f t="shared" si="172"/>
        <v>0</v>
      </c>
      <c r="I440" s="57"/>
      <c r="J440" s="57"/>
      <c r="K440" s="57"/>
      <c r="L440" s="58"/>
      <c r="M440" s="187">
        <f t="shared" si="173"/>
        <v>0</v>
      </c>
      <c r="N440" s="60"/>
      <c r="O440" s="60"/>
      <c r="P440" s="188"/>
      <c r="Q440" s="188"/>
      <c r="R440" s="61"/>
      <c r="U440" s="188"/>
      <c r="V440" s="60"/>
      <c r="W440" s="61"/>
    </row>
    <row r="441" ht="16.5" customHeight="1" spans="2:23">
      <c r="B441" s="186">
        <v>20</v>
      </c>
      <c r="C441" s="54" t="s">
        <v>324</v>
      </c>
      <c r="D441" s="189" t="s">
        <v>325</v>
      </c>
      <c r="E441" s="190"/>
      <c r="F441" s="191"/>
      <c r="G441" s="36">
        <f>H4*0.1*0.012</f>
        <v>15.23898</v>
      </c>
      <c r="H441" s="178">
        <f t="shared" si="172"/>
        <v>15.23898</v>
      </c>
      <c r="I441" s="57"/>
      <c r="J441" s="57"/>
      <c r="K441" s="57"/>
      <c r="L441" s="58"/>
      <c r="M441" s="187">
        <f t="shared" si="173"/>
        <v>0.0012</v>
      </c>
      <c r="N441" s="60"/>
      <c r="O441" s="60"/>
      <c r="P441" s="188"/>
      <c r="Q441" s="188"/>
      <c r="R441" s="61"/>
      <c r="U441" s="188"/>
      <c r="V441" s="60"/>
      <c r="W441" s="61"/>
    </row>
    <row r="442" ht="16.5" customHeight="1" spans="2:23">
      <c r="B442" s="186">
        <v>21</v>
      </c>
      <c r="C442" s="54" t="s">
        <v>326</v>
      </c>
      <c r="D442" s="189"/>
      <c r="E442" s="190"/>
      <c r="F442" s="191"/>
      <c r="G442" s="36">
        <v>0</v>
      </c>
      <c r="H442" s="178">
        <f t="shared" si="172"/>
        <v>0</v>
      </c>
      <c r="I442" s="57"/>
      <c r="J442" s="57"/>
      <c r="K442" s="57"/>
      <c r="L442" s="58"/>
      <c r="M442" s="187">
        <f t="shared" si="173"/>
        <v>0</v>
      </c>
      <c r="N442" s="60"/>
      <c r="O442" s="60"/>
      <c r="P442" s="188"/>
      <c r="Q442" s="188"/>
      <c r="R442" s="61"/>
      <c r="U442" s="188"/>
      <c r="V442" s="60"/>
      <c r="W442" s="61"/>
    </row>
    <row r="443" ht="16.5" customHeight="1" spans="2:23">
      <c r="B443" s="186">
        <v>22</v>
      </c>
      <c r="C443" s="54" t="s">
        <v>327</v>
      </c>
      <c r="D443" s="189"/>
      <c r="E443" s="190"/>
      <c r="F443" s="191"/>
      <c r="G443" s="36">
        <v>0</v>
      </c>
      <c r="H443" s="178">
        <f t="shared" si="172"/>
        <v>0</v>
      </c>
      <c r="I443" s="57"/>
      <c r="J443" s="57"/>
      <c r="K443" s="57"/>
      <c r="L443" s="58"/>
      <c r="M443" s="187">
        <f t="shared" si="173"/>
        <v>0</v>
      </c>
      <c r="N443" s="60"/>
      <c r="O443" s="60"/>
      <c r="P443" s="188"/>
      <c r="Q443" s="188"/>
      <c r="R443" s="61"/>
      <c r="U443" s="188"/>
      <c r="V443" s="60"/>
      <c r="W443" s="61"/>
    </row>
    <row r="444" ht="16.5" customHeight="1" spans="2:23">
      <c r="B444" s="186">
        <v>23</v>
      </c>
      <c r="C444" s="54" t="s">
        <v>328</v>
      </c>
      <c r="D444" s="189"/>
      <c r="E444" s="190"/>
      <c r="F444" s="191"/>
      <c r="G444" s="36">
        <f>184895.38/10000</f>
        <v>18.489538</v>
      </c>
      <c r="H444" s="178">
        <f t="shared" si="172"/>
        <v>18.489538</v>
      </c>
      <c r="I444" s="57"/>
      <c r="J444" s="57"/>
      <c r="K444" s="57"/>
      <c r="L444" s="58"/>
      <c r="M444" s="187">
        <f t="shared" si="173"/>
        <v>0.00145596658044042</v>
      </c>
      <c r="N444" s="60"/>
      <c r="O444" s="60"/>
      <c r="P444" s="188"/>
      <c r="Q444" s="188"/>
      <c r="R444" s="61"/>
      <c r="U444" s="188"/>
      <c r="V444" s="60"/>
      <c r="W444" s="61"/>
    </row>
    <row r="445" ht="16.5" customHeight="1" spans="2:23">
      <c r="B445" s="186">
        <v>24</v>
      </c>
      <c r="C445" s="54" t="s">
        <v>329</v>
      </c>
      <c r="D445" s="55" t="s">
        <v>330</v>
      </c>
      <c r="E445" s="55"/>
      <c r="F445" s="55"/>
      <c r="G445" s="36">
        <f>2.5*0.4</f>
        <v>1</v>
      </c>
      <c r="H445" s="178">
        <f t="shared" si="172"/>
        <v>1</v>
      </c>
      <c r="I445" s="57"/>
      <c r="J445" s="57"/>
      <c r="K445" s="57"/>
      <c r="L445" s="58"/>
      <c r="M445" s="187">
        <f t="shared" si="173"/>
        <v>7.87454278435958e-5</v>
      </c>
      <c r="N445" s="60"/>
      <c r="O445" s="60"/>
      <c r="P445" s="188"/>
      <c r="Q445" s="188"/>
      <c r="R445" s="61"/>
      <c r="U445" s="188"/>
      <c r="V445" s="60"/>
      <c r="W445" s="61"/>
    </row>
    <row r="446" ht="18" customHeight="1" spans="2:23">
      <c r="B446" s="192" t="s">
        <v>161</v>
      </c>
      <c r="C446" s="64" t="s">
        <v>162</v>
      </c>
      <c r="D446" s="65"/>
      <c r="E446" s="65"/>
      <c r="F446" s="65"/>
      <c r="G446" s="65">
        <f>SUM(G447:G448)</f>
        <v>1160.02</v>
      </c>
      <c r="H446" s="65">
        <f t="shared" si="172"/>
        <v>1160.02</v>
      </c>
      <c r="I446" s="63"/>
      <c r="J446" s="63"/>
      <c r="K446" s="63"/>
      <c r="L446" s="30">
        <f>+H446/H453</f>
        <v>0.074074264661698</v>
      </c>
      <c r="M446" s="193"/>
      <c r="N446" s="66"/>
      <c r="O446" s="66"/>
      <c r="P446" s="76"/>
      <c r="Q446" s="76"/>
      <c r="R446" s="67"/>
      <c r="U446" s="76"/>
      <c r="V446" s="66"/>
      <c r="W446" s="67"/>
    </row>
    <row r="447" ht="18" customHeight="1" spans="2:23">
      <c r="B447" s="194">
        <v>1</v>
      </c>
      <c r="C447" s="69" t="s">
        <v>163</v>
      </c>
      <c r="D447" s="70" t="s">
        <v>331</v>
      </c>
      <c r="E447" s="70"/>
      <c r="F447" s="70"/>
      <c r="G447" s="70">
        <f>ROUND((H4+H410)*8%,2)</f>
        <v>1160.02</v>
      </c>
      <c r="H447" s="70">
        <f t="shared" si="172"/>
        <v>1160.02</v>
      </c>
      <c r="I447" s="68"/>
      <c r="J447" s="68"/>
      <c r="K447" s="68"/>
      <c r="L447" s="41"/>
      <c r="M447" s="195">
        <v>0.05</v>
      </c>
      <c r="N447" s="72"/>
      <c r="O447" s="72"/>
      <c r="P447" s="196"/>
      <c r="Q447" s="196"/>
      <c r="R447" s="67"/>
      <c r="U447" s="196"/>
      <c r="V447" s="72"/>
      <c r="W447" s="67"/>
    </row>
    <row r="448" ht="18" customHeight="1" spans="2:23">
      <c r="B448" s="194">
        <v>2</v>
      </c>
      <c r="C448" s="69" t="s">
        <v>165</v>
      </c>
      <c r="D448" s="70"/>
      <c r="E448" s="70"/>
      <c r="F448" s="70"/>
      <c r="G448" s="70"/>
      <c r="H448" s="70"/>
      <c r="I448" s="68"/>
      <c r="J448" s="68"/>
      <c r="K448" s="68"/>
      <c r="L448" s="41"/>
      <c r="M448" s="197"/>
      <c r="N448" s="73"/>
      <c r="O448" s="73"/>
      <c r="P448" s="76"/>
      <c r="Q448" s="76"/>
      <c r="R448" s="67"/>
      <c r="U448" s="76"/>
      <c r="V448" s="73"/>
      <c r="W448" s="67"/>
    </row>
    <row r="449" ht="24" customHeight="1" spans="2:23">
      <c r="B449" s="192" t="s">
        <v>166</v>
      </c>
      <c r="C449" s="64" t="s">
        <v>167</v>
      </c>
      <c r="D449" s="65">
        <f>D4</f>
        <v>12699.15</v>
      </c>
      <c r="E449" s="65">
        <f>E4</f>
        <v>0</v>
      </c>
      <c r="F449" s="65">
        <f>F4</f>
        <v>0</v>
      </c>
      <c r="G449" s="65">
        <f>G410+G446</f>
        <v>2961.07970727941</v>
      </c>
      <c r="H449" s="65">
        <f>H4+H410+H446</f>
        <v>15660.2297072794</v>
      </c>
      <c r="I449" s="74" t="str">
        <f>I410</f>
        <v>km</v>
      </c>
      <c r="J449" s="75">
        <f>J410</f>
        <v>4.775</v>
      </c>
      <c r="K449" s="29">
        <f>H449/J449*10000</f>
        <v>32796292.5806899</v>
      </c>
      <c r="L449" s="30">
        <f>+H449/H453</f>
        <v>1</v>
      </c>
      <c r="M449" s="193"/>
      <c r="N449" s="66"/>
      <c r="O449" s="66"/>
      <c r="P449" s="76"/>
      <c r="Q449" s="76"/>
      <c r="R449" s="67"/>
      <c r="U449" s="76"/>
      <c r="V449" s="66"/>
      <c r="W449" s="67"/>
    </row>
    <row r="450" ht="24" customHeight="1" spans="2:23">
      <c r="B450" s="192" t="s">
        <v>168</v>
      </c>
      <c r="C450" s="64" t="s">
        <v>169</v>
      </c>
      <c r="D450" s="65"/>
      <c r="E450" s="65"/>
      <c r="F450" s="65"/>
      <c r="G450" s="65">
        <f>H450</f>
        <v>0</v>
      </c>
      <c r="H450" s="65">
        <f>SUM(D464:E465)*0</f>
        <v>0</v>
      </c>
      <c r="I450" s="63"/>
      <c r="J450" s="75"/>
      <c r="K450" s="63"/>
      <c r="L450" s="30"/>
      <c r="M450" s="193"/>
      <c r="N450" s="66"/>
      <c r="O450" s="66"/>
      <c r="P450" s="76"/>
      <c r="Q450" s="76"/>
      <c r="R450" s="67"/>
      <c r="U450" s="76"/>
      <c r="V450" s="66"/>
      <c r="W450" s="67"/>
    </row>
    <row r="451" ht="24" customHeight="1" spans="2:23">
      <c r="B451" s="192" t="s">
        <v>170</v>
      </c>
      <c r="C451" s="64" t="s">
        <v>171</v>
      </c>
      <c r="D451" s="65"/>
      <c r="E451" s="65"/>
      <c r="F451" s="65"/>
      <c r="G451" s="65"/>
      <c r="H451" s="65"/>
      <c r="I451" s="63"/>
      <c r="J451" s="75"/>
      <c r="K451" s="63"/>
      <c r="L451" s="30"/>
      <c r="M451" s="193"/>
      <c r="N451" s="66"/>
      <c r="O451" s="66"/>
      <c r="P451" s="76"/>
      <c r="Q451" s="76"/>
      <c r="R451" s="67"/>
      <c r="U451" s="76"/>
      <c r="V451" s="66"/>
      <c r="W451" s="67"/>
    </row>
    <row r="452" ht="18" customHeight="1" spans="2:23">
      <c r="B452" s="192" t="s">
        <v>172</v>
      </c>
      <c r="C452" s="64" t="s">
        <v>173</v>
      </c>
      <c r="D452" s="65"/>
      <c r="E452" s="65"/>
      <c r="F452" s="65"/>
      <c r="G452" s="65"/>
      <c r="H452" s="65"/>
      <c r="I452" s="63"/>
      <c r="J452" s="75"/>
      <c r="K452" s="63"/>
      <c r="L452" s="30"/>
      <c r="M452" s="193"/>
      <c r="N452" s="66"/>
      <c r="O452" s="66"/>
      <c r="P452" s="76"/>
      <c r="Q452" s="76"/>
      <c r="R452" s="67"/>
      <c r="U452" s="76"/>
      <c r="V452" s="66"/>
      <c r="W452" s="67"/>
    </row>
    <row r="453" ht="18" customHeight="1" spans="2:23">
      <c r="B453" s="198" t="s">
        <v>174</v>
      </c>
      <c r="C453" s="199" t="s">
        <v>175</v>
      </c>
      <c r="D453" s="200">
        <f t="shared" ref="D453:H453" si="174">D449+D450+D451+D452</f>
        <v>12699.15</v>
      </c>
      <c r="E453" s="200">
        <f t="shared" si="174"/>
        <v>0</v>
      </c>
      <c r="F453" s="200">
        <f t="shared" si="174"/>
        <v>0</v>
      </c>
      <c r="G453" s="200">
        <f t="shared" si="174"/>
        <v>2961.07970727941</v>
      </c>
      <c r="H453" s="200">
        <f t="shared" si="174"/>
        <v>15660.2297072794</v>
      </c>
      <c r="I453" s="201" t="str">
        <f>I410</f>
        <v>km</v>
      </c>
      <c r="J453" s="202">
        <f>J410</f>
        <v>4.775</v>
      </c>
      <c r="K453" s="203">
        <f>H453/J453*10000</f>
        <v>32796292.5806899</v>
      </c>
      <c r="L453" s="204">
        <f>+H453/H453</f>
        <v>1</v>
      </c>
      <c r="M453" s="205"/>
      <c r="N453" s="66"/>
      <c r="O453" s="66"/>
      <c r="P453" s="76"/>
      <c r="Q453" s="76"/>
      <c r="R453" s="67"/>
      <c r="U453" s="76"/>
      <c r="V453" s="66"/>
      <c r="W453" s="67"/>
    </row>
    <row r="454" ht="14.25"/>
    <row r="455" spans="2:23">
      <c r="G455" s="34"/>
      <c r="H455" s="34"/>
      <c r="I455" s="77"/>
    </row>
    <row r="456" spans="2:23">
      <c r="B456" s="78"/>
    </row>
    <row r="457" spans="2:23">
      <c r="C457" s="79" t="s">
        <v>332</v>
      </c>
      <c r="D457" s="80">
        <f>(H449)-D458</f>
        <v>12528.1837658235</v>
      </c>
      <c r="E457" s="81"/>
      <c r="H457" s="82"/>
    </row>
    <row r="458" spans="2:23">
      <c r="C458" s="79" t="s">
        <v>333</v>
      </c>
      <c r="D458" s="80">
        <f>H449*0.2</f>
        <v>3132.04594145588</v>
      </c>
      <c r="E458" s="81"/>
    </row>
    <row r="459" spans="2:23">
      <c r="C459" s="206"/>
      <c r="D459" s="207" t="s">
        <v>334</v>
      </c>
      <c r="E459" s="207"/>
    </row>
    <row r="460" spans="2:23">
      <c r="C460" s="206"/>
      <c r="D460" s="208">
        <v>1</v>
      </c>
      <c r="E460" s="208">
        <v>2</v>
      </c>
    </row>
    <row r="461" spans="2:23">
      <c r="C461" s="206"/>
      <c r="D461" s="209">
        <v>0.5</v>
      </c>
      <c r="E461" s="209">
        <v>0.5</v>
      </c>
    </row>
    <row r="462" spans="2:23">
      <c r="C462" s="79" t="s">
        <v>335</v>
      </c>
      <c r="D462" s="207">
        <f>H4/2/2*0</f>
        <v>0</v>
      </c>
      <c r="E462" s="207">
        <f>H4/2/2*0</f>
        <v>0</v>
      </c>
    </row>
    <row r="463" spans="2:23">
      <c r="C463" s="79" t="s">
        <v>336</v>
      </c>
      <c r="D463" s="207">
        <f>D457/2-D462</f>
        <v>6264.09188291176</v>
      </c>
      <c r="E463" s="207">
        <f>D457/2-E462</f>
        <v>6264.09188291176</v>
      </c>
    </row>
    <row r="464" spans="2:23">
      <c r="C464" s="79" t="s">
        <v>337</v>
      </c>
      <c r="D464" s="207">
        <f>D462/2*4.8%</f>
        <v>0</v>
      </c>
      <c r="E464" s="207">
        <f>(D462+D464+E462/2)*0.048</f>
        <v>0</v>
      </c>
    </row>
    <row r="465" spans="3:8">
      <c r="C465" s="79" t="s">
        <v>338</v>
      </c>
      <c r="D465" s="207">
        <f>D463/2*0.041</f>
        <v>128.413883599691</v>
      </c>
      <c r="E465" s="207">
        <f>(D463+D465+E463/2)*0.041</f>
        <v>390.506620026661</v>
      </c>
    </row>
    <row r="467" spans="3:8">
      <c r="H467" s="210">
        <f>H453*0.8</f>
        <v>12528.1837658235</v>
      </c>
    </row>
    <row r="468" spans="3:8">
      <c r="H468" s="210">
        <f>H453*0.2</f>
        <v>3132.04594145588</v>
      </c>
    </row>
    <row r="469" hidden="1"/>
    <row r="470" hidden="1"/>
    <row r="471" hidden="1"/>
    <row r="472" hidden="1"/>
  </sheetData>
  <autoFilter xmlns:etc="http://www.wps.cn/officeDocument/2017/etCustomData" ref="A3:XFD468" etc:filterBottomFollowUsedRange="0">
    <extLst/>
  </autoFilter>
  <mergeCells count="46">
    <mergeCell ref="B1:M1"/>
    <mergeCell ref="D2:H2"/>
    <mergeCell ref="I2:K2"/>
    <mergeCell ref="D410:F410"/>
    <mergeCell ref="D411:F411"/>
    <mergeCell ref="D412:F412"/>
    <mergeCell ref="D413:F413"/>
    <mergeCell ref="D414:F414"/>
    <mergeCell ref="D415:F415"/>
    <mergeCell ref="D416:F416"/>
    <mergeCell ref="D417:F417"/>
    <mergeCell ref="D418:F418"/>
    <mergeCell ref="D419:F419"/>
    <mergeCell ref="D420:F420"/>
    <mergeCell ref="D421:F421"/>
    <mergeCell ref="D422:F422"/>
    <mergeCell ref="D423:F423"/>
    <mergeCell ref="D424:F424"/>
    <mergeCell ref="D425:F425"/>
    <mergeCell ref="D426:F426"/>
    <mergeCell ref="D427:F427"/>
    <mergeCell ref="D428:F428"/>
    <mergeCell ref="D429:F429"/>
    <mergeCell ref="D430:F430"/>
    <mergeCell ref="D431:F431"/>
    <mergeCell ref="D432:F432"/>
    <mergeCell ref="D433:F433"/>
    <mergeCell ref="D434:F434"/>
    <mergeCell ref="D435:F435"/>
    <mergeCell ref="D436:F436"/>
    <mergeCell ref="D437:F437"/>
    <mergeCell ref="D438:F438"/>
    <mergeCell ref="D439:F439"/>
    <mergeCell ref="D440:F440"/>
    <mergeCell ref="D441:F441"/>
    <mergeCell ref="D442:F442"/>
    <mergeCell ref="D443:F443"/>
    <mergeCell ref="D444:F444"/>
    <mergeCell ref="D445:F445"/>
    <mergeCell ref="D446:F446"/>
    <mergeCell ref="D447:F447"/>
    <mergeCell ref="D459:E459"/>
    <mergeCell ref="B2:B3"/>
    <mergeCell ref="C2:C3"/>
    <mergeCell ref="L2:L3"/>
    <mergeCell ref="M2:M3"/>
  </mergeCells>
  <pageMargins left="0.700694444444445" right="0.590277777777778" top="0.751388888888889" bottom="0.751388888888889" header="0.298611111111111" footer="0.298611111111111"/>
  <pageSetup paperSize="9" scale="99" orientation="landscape"/>
  <headerFooter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B1:Y49"/>
  <sheetViews>
    <sheetView tabSelected="1" view="pageBreakPreview" zoomScaleNormal="100" topLeftCell="B1" workbookViewId="0">
      <selection activeCell="H6" sqref="H6"/>
    </sheetView>
  </sheetViews>
  <sheetFormatPr defaultColWidth="9" defaultRowHeight="13.5"/>
  <cols>
    <col min="1" max="1" width="9" style="2" hidden="1" customWidth="1"/>
    <col min="2" max="2" width="6.5" style="2" customWidth="1"/>
    <col min="3" max="3" width="21" style="2" customWidth="1"/>
    <col min="4" max="8" width="10" style="2" customWidth="1"/>
    <col min="9" max="9" width="7.25" style="2" customWidth="1"/>
    <col min="10" max="10" width="4.875" style="2" customWidth="1"/>
    <col min="11" max="11" width="7.625" style="2" customWidth="1"/>
    <col min="12" max="12" width="8.25" style="3" customWidth="1"/>
    <col min="13" max="13" width="8.38333333333333" style="2" customWidth="1"/>
    <col min="14" max="15" width="8.38333333333333" style="2" hidden="1" customWidth="1"/>
    <col min="16" max="17" width="8.5" style="4" customWidth="1"/>
    <col min="18" max="18" width="8.5" style="5" customWidth="1"/>
    <col min="19" max="21" width="8.5" style="4" customWidth="1"/>
    <col min="22" max="22" width="8.5" style="6" customWidth="1"/>
    <col min="23" max="23" width="16.1333333333333" style="7" customWidth="1"/>
    <col min="24" max="24" width="9.38333333333333" style="6" customWidth="1"/>
    <col min="25" max="25" width="9.5" style="6" customWidth="1"/>
    <col min="26" max="26" width="10.5" style="2" customWidth="1"/>
    <col min="27" max="27" width="9" style="2"/>
    <col min="28" max="28" width="13.6333333333333" style="2" customWidth="1"/>
    <col min="29" max="16384" width="9" style="2"/>
  </cols>
  <sheetData>
    <row r="1" ht="20.1" customHeight="1" spans="2:25">
      <c r="B1" s="8" t="s">
        <v>339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  <c r="O1" s="10"/>
      <c r="P1" s="11"/>
      <c r="Q1" s="11"/>
      <c r="R1" s="11"/>
      <c r="S1" s="11"/>
      <c r="T1" s="11"/>
      <c r="U1" s="11"/>
      <c r="V1" s="12"/>
      <c r="W1" s="13"/>
    </row>
    <row r="2" ht="20.1" customHeight="1" spans="2:25">
      <c r="B2" s="14" t="s">
        <v>340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10"/>
      <c r="P2" s="11"/>
      <c r="Q2" s="11"/>
      <c r="R2" s="11"/>
      <c r="S2" s="11"/>
      <c r="T2" s="11"/>
      <c r="U2" s="11"/>
      <c r="V2" s="15"/>
      <c r="W2" s="13"/>
    </row>
    <row r="3" ht="21.75" customHeight="1" spans="2:25">
      <c r="B3" s="16" t="s">
        <v>182</v>
      </c>
      <c r="C3" s="16" t="s">
        <v>183</v>
      </c>
      <c r="D3" s="16" t="s">
        <v>184</v>
      </c>
      <c r="E3" s="17"/>
      <c r="F3" s="17"/>
      <c r="G3" s="17"/>
      <c r="H3" s="17"/>
      <c r="I3" s="16" t="s">
        <v>185</v>
      </c>
      <c r="J3" s="17"/>
      <c r="K3" s="17"/>
      <c r="L3" s="18" t="s">
        <v>186</v>
      </c>
      <c r="M3" s="16" t="s">
        <v>6</v>
      </c>
      <c r="N3" s="19"/>
      <c r="O3" s="19"/>
      <c r="P3" s="20"/>
      <c r="Q3" s="20"/>
      <c r="R3" s="20"/>
      <c r="S3" s="20"/>
      <c r="T3" s="20"/>
      <c r="U3" s="20"/>
      <c r="W3" s="2"/>
    </row>
    <row r="4" ht="34.5" customHeight="1" spans="2:25">
      <c r="B4" s="17"/>
      <c r="C4" s="17"/>
      <c r="D4" s="16" t="s">
        <v>187</v>
      </c>
      <c r="E4" s="16" t="s">
        <v>188</v>
      </c>
      <c r="F4" s="21" t="s">
        <v>189</v>
      </c>
      <c r="G4" s="22" t="s">
        <v>190</v>
      </c>
      <c r="H4" s="22" t="s">
        <v>191</v>
      </c>
      <c r="I4" s="16" t="s">
        <v>192</v>
      </c>
      <c r="J4" s="16" t="s">
        <v>193</v>
      </c>
      <c r="K4" s="21" t="s">
        <v>194</v>
      </c>
      <c r="L4" s="23"/>
      <c r="M4" s="17"/>
      <c r="N4" s="24"/>
      <c r="O4" s="24"/>
      <c r="P4" s="2"/>
      <c r="Q4" s="2"/>
      <c r="R4" s="2"/>
      <c r="S4" s="2"/>
      <c r="T4" s="2"/>
      <c r="U4" s="2"/>
      <c r="W4" s="2"/>
    </row>
    <row r="5" s="1" customFormat="1" ht="18.75" customHeight="1" spans="2:25">
      <c r="B5" s="25" t="s">
        <v>15</v>
      </c>
      <c r="C5" s="26" t="s">
        <v>16</v>
      </c>
      <c r="D5" s="27">
        <f>D6+D9+D13</f>
        <v>350.5727</v>
      </c>
      <c r="E5" s="27">
        <f>E6+E9+E13</f>
        <v>10.7945</v>
      </c>
      <c r="F5" s="27">
        <f>F6+F9+F13</f>
        <v>0</v>
      </c>
      <c r="G5" s="27">
        <f>G6+G9+G13</f>
        <v>0</v>
      </c>
      <c r="H5" s="27">
        <f>H6+H9+H13</f>
        <v>361.3672</v>
      </c>
      <c r="I5" s="28" t="s">
        <v>17</v>
      </c>
      <c r="J5" s="27"/>
      <c r="K5" s="29"/>
      <c r="L5" s="30">
        <f>H5/$H$30</f>
        <v>0.907439060662486</v>
      </c>
      <c r="M5" s="31"/>
      <c r="N5" s="32"/>
      <c r="O5" s="33"/>
      <c r="P5" s="2"/>
      <c r="Q5" s="2"/>
      <c r="R5" s="2"/>
      <c r="S5" s="2"/>
      <c r="T5" s="2"/>
      <c r="U5" s="2"/>
      <c r="V5" s="34"/>
      <c r="W5" s="2"/>
      <c r="X5" s="34"/>
      <c r="Y5" s="34"/>
    </row>
    <row r="6" s="1" customFormat="1" ht="15" customHeight="1" spans="2:25">
      <c r="B6" s="35" t="s">
        <v>195</v>
      </c>
      <c r="C6" s="26" t="s">
        <v>341</v>
      </c>
      <c r="D6" s="36">
        <f>D7+D8</f>
        <v>54.1654</v>
      </c>
      <c r="E6" s="36">
        <f>E7+E8</f>
        <v>0</v>
      </c>
      <c r="F6" s="36">
        <f>F7+F8</f>
        <v>0</v>
      </c>
      <c r="G6" s="36">
        <f>G7+G8</f>
        <v>0</v>
      </c>
      <c r="H6" s="36">
        <f>D6+E6+F6+G6</f>
        <v>54.1654</v>
      </c>
      <c r="I6" s="37" t="s">
        <v>17</v>
      </c>
      <c r="J6" s="38"/>
      <c r="K6" s="39"/>
      <c r="L6" s="30">
        <f>H6/$H$30</f>
        <v>0.136016217565977</v>
      </c>
      <c r="M6" s="31"/>
      <c r="N6" s="32"/>
      <c r="O6" s="32"/>
      <c r="P6" s="2"/>
      <c r="Q6" s="2"/>
      <c r="R6" s="2"/>
      <c r="S6" s="2"/>
      <c r="T6" s="2"/>
      <c r="U6" s="2"/>
      <c r="V6" s="34"/>
      <c r="W6" s="2"/>
      <c r="X6" s="34"/>
      <c r="Y6" s="34"/>
    </row>
    <row r="7" ht="15" customHeight="1" spans="2:25">
      <c r="B7" s="35" t="s">
        <v>19</v>
      </c>
      <c r="C7" s="40" t="s">
        <v>342</v>
      </c>
      <c r="D7" s="36">
        <f>21840/10000</f>
        <v>2.184</v>
      </c>
      <c r="E7" s="36">
        <v>0</v>
      </c>
      <c r="F7" s="36">
        <v>0</v>
      </c>
      <c r="G7" s="36">
        <v>0</v>
      </c>
      <c r="H7" s="36">
        <f>SUM(D7:G7)</f>
        <v>2.184</v>
      </c>
      <c r="I7" s="37" t="s">
        <v>17</v>
      </c>
      <c r="J7" s="38"/>
      <c r="K7" s="39"/>
      <c r="L7" s="41"/>
      <c r="M7" s="31"/>
      <c r="N7" s="32"/>
      <c r="O7" s="32"/>
      <c r="P7" s="2"/>
      <c r="Q7" s="2"/>
      <c r="R7" s="2"/>
      <c r="S7" s="2"/>
      <c r="T7" s="2"/>
      <c r="U7" s="2"/>
      <c r="V7" s="20"/>
      <c r="W7" s="2"/>
    </row>
    <row r="8" ht="15" customHeight="1" spans="2:25">
      <c r="B8" s="35" t="s">
        <v>39</v>
      </c>
      <c r="C8" s="40" t="s">
        <v>73</v>
      </c>
      <c r="D8" s="36">
        <f>519814/10000</f>
        <v>51.9814</v>
      </c>
      <c r="E8" s="36">
        <v>0</v>
      </c>
      <c r="F8" s="36">
        <v>0</v>
      </c>
      <c r="G8" s="36">
        <v>0</v>
      </c>
      <c r="H8" s="36">
        <f>SUM(D8:G8)</f>
        <v>51.9814</v>
      </c>
      <c r="I8" s="37" t="s">
        <v>17</v>
      </c>
      <c r="J8" s="38"/>
      <c r="K8" s="39"/>
      <c r="L8" s="41"/>
      <c r="M8" s="31"/>
      <c r="N8" s="32"/>
      <c r="O8" s="32"/>
      <c r="P8" s="2"/>
      <c r="Q8" s="2"/>
      <c r="R8" s="2"/>
      <c r="S8" s="2"/>
      <c r="T8" s="2"/>
      <c r="U8" s="2"/>
      <c r="V8" s="34"/>
      <c r="W8" s="2"/>
    </row>
    <row r="9" s="1" customFormat="1" ht="15" customHeight="1" spans="2:25">
      <c r="B9" s="35" t="s">
        <v>343</v>
      </c>
      <c r="C9" s="26" t="s">
        <v>344</v>
      </c>
      <c r="D9" s="36">
        <f t="shared" ref="D9:G9" si="0">D10+D11+D12</f>
        <v>63.5166</v>
      </c>
      <c r="E9" s="36">
        <f t="shared" si="0"/>
        <v>10.7945</v>
      </c>
      <c r="F9" s="36">
        <f t="shared" si="0"/>
        <v>0</v>
      </c>
      <c r="G9" s="36">
        <f t="shared" si="0"/>
        <v>0</v>
      </c>
      <c r="H9" s="36">
        <f>D9+E9+F9+G9</f>
        <v>74.3111</v>
      </c>
      <c r="I9" s="37" t="s">
        <v>17</v>
      </c>
      <c r="J9" s="38"/>
      <c r="K9" s="39"/>
      <c r="L9" s="30">
        <f>H9/$H$30</f>
        <v>0.186604635896108</v>
      </c>
      <c r="M9" s="31"/>
      <c r="N9" s="32"/>
      <c r="O9" s="32"/>
      <c r="P9" s="2"/>
      <c r="Q9" s="2"/>
      <c r="R9" s="2"/>
      <c r="S9" s="2"/>
      <c r="T9" s="2"/>
      <c r="U9" s="2"/>
      <c r="V9" s="34"/>
      <c r="W9" s="2"/>
      <c r="X9" s="34"/>
      <c r="Y9" s="34"/>
    </row>
    <row r="10" ht="15" customHeight="1" spans="2:25">
      <c r="B10" s="35" t="s">
        <v>19</v>
      </c>
      <c r="C10" s="40" t="s">
        <v>342</v>
      </c>
      <c r="D10" s="36">
        <f>14673/10000</f>
        <v>1.4673</v>
      </c>
      <c r="E10" s="36">
        <v>0</v>
      </c>
      <c r="F10" s="36">
        <v>0</v>
      </c>
      <c r="G10" s="36">
        <v>0</v>
      </c>
      <c r="H10" s="36">
        <f>SUM(D10:G10)</f>
        <v>1.4673</v>
      </c>
      <c r="I10" s="37" t="s">
        <v>17</v>
      </c>
      <c r="J10" s="38"/>
      <c r="K10" s="39"/>
      <c r="L10" s="41"/>
      <c r="M10" s="31"/>
      <c r="N10" s="32"/>
      <c r="O10" s="32"/>
      <c r="P10" s="2"/>
      <c r="Q10" s="2"/>
      <c r="R10" s="2"/>
      <c r="S10" s="2"/>
      <c r="T10" s="2"/>
      <c r="U10" s="2"/>
      <c r="V10" s="20"/>
      <c r="W10" s="2"/>
    </row>
    <row r="11" ht="15" customHeight="1" spans="2:25">
      <c r="B11" s="35" t="s">
        <v>39</v>
      </c>
      <c r="C11" s="40" t="s">
        <v>73</v>
      </c>
      <c r="D11" s="36">
        <f>620493/10000</f>
        <v>62.0493</v>
      </c>
      <c r="E11" s="36">
        <v>0</v>
      </c>
      <c r="F11" s="36">
        <v>0</v>
      </c>
      <c r="G11" s="36">
        <v>0</v>
      </c>
      <c r="H11" s="36">
        <f>SUM(D11:G11)</f>
        <v>62.0493</v>
      </c>
      <c r="I11" s="37" t="s">
        <v>17</v>
      </c>
      <c r="J11" s="38"/>
      <c r="K11" s="39"/>
      <c r="L11" s="41"/>
      <c r="M11" s="31"/>
      <c r="N11" s="32"/>
      <c r="O11" s="32"/>
      <c r="P11" s="2"/>
      <c r="Q11" s="2"/>
      <c r="R11" s="2"/>
      <c r="S11" s="2"/>
      <c r="T11" s="2"/>
      <c r="U11" s="2"/>
      <c r="V11" s="34"/>
      <c r="W11" s="2"/>
    </row>
    <row r="12" ht="15" customHeight="1" spans="2:25">
      <c r="B12" s="35" t="s">
        <v>45</v>
      </c>
      <c r="C12" s="40" t="s">
        <v>345</v>
      </c>
      <c r="D12" s="36">
        <v>0</v>
      </c>
      <c r="E12" s="36">
        <f>107945/10000</f>
        <v>10.7945</v>
      </c>
      <c r="F12" s="36">
        <v>0</v>
      </c>
      <c r="G12" s="36">
        <v>0</v>
      </c>
      <c r="H12" s="36">
        <f>SUM(D12:G12)</f>
        <v>10.7945</v>
      </c>
      <c r="I12" s="37" t="s">
        <v>17</v>
      </c>
      <c r="J12" s="38"/>
      <c r="K12" s="42"/>
      <c r="L12" s="41"/>
      <c r="M12" s="31"/>
      <c r="N12" s="32"/>
      <c r="O12" s="32"/>
      <c r="P12" s="2"/>
      <c r="Q12" s="2"/>
      <c r="R12" s="2"/>
      <c r="S12" s="2"/>
      <c r="T12" s="2"/>
      <c r="U12" s="2"/>
      <c r="V12" s="34"/>
      <c r="W12" s="2"/>
    </row>
    <row r="13" s="1" customFormat="1" ht="15" customHeight="1" spans="2:25">
      <c r="B13" s="35" t="s">
        <v>346</v>
      </c>
      <c r="C13" s="26" t="s">
        <v>347</v>
      </c>
      <c r="D13" s="36">
        <f>D14+D15</f>
        <v>232.8907</v>
      </c>
      <c r="E13" s="36">
        <f t="shared" ref="D13:G13" si="1">E14+E15</f>
        <v>0</v>
      </c>
      <c r="F13" s="36">
        <f t="shared" si="1"/>
        <v>0</v>
      </c>
      <c r="G13" s="36">
        <f t="shared" si="1"/>
        <v>0</v>
      </c>
      <c r="H13" s="36">
        <f>D13+E13+F13+G13</f>
        <v>232.8907</v>
      </c>
      <c r="I13" s="37" t="s">
        <v>17</v>
      </c>
      <c r="J13" s="38"/>
      <c r="K13" s="39"/>
      <c r="L13" s="30">
        <f>H13/$H$30</f>
        <v>0.584818207200401</v>
      </c>
      <c r="M13" s="31"/>
      <c r="N13" s="32"/>
      <c r="O13" s="32"/>
      <c r="P13" s="2"/>
      <c r="Q13" s="2"/>
      <c r="R13" s="2"/>
      <c r="S13" s="2"/>
      <c r="T13" s="2"/>
      <c r="U13" s="2"/>
      <c r="V13" s="34"/>
      <c r="W13" s="2"/>
      <c r="X13" s="34"/>
      <c r="Y13" s="34"/>
    </row>
    <row r="14" ht="15" customHeight="1" spans="2:25">
      <c r="B14" s="35" t="s">
        <v>19</v>
      </c>
      <c r="C14" s="40" t="s">
        <v>342</v>
      </c>
      <c r="D14" s="36">
        <f>22126/10000</f>
        <v>2.2126</v>
      </c>
      <c r="E14" s="36">
        <v>0</v>
      </c>
      <c r="F14" s="36">
        <v>0</v>
      </c>
      <c r="G14" s="36">
        <v>0</v>
      </c>
      <c r="H14" s="36">
        <f>SUM(D14:G14)</f>
        <v>2.2126</v>
      </c>
      <c r="I14" s="37" t="s">
        <v>17</v>
      </c>
      <c r="J14" s="38"/>
      <c r="K14" s="39"/>
      <c r="L14" s="41"/>
      <c r="M14" s="31"/>
      <c r="N14" s="32"/>
      <c r="O14" s="32"/>
      <c r="P14" s="2"/>
      <c r="Q14" s="2"/>
      <c r="R14" s="2"/>
      <c r="S14" s="2"/>
      <c r="T14" s="2"/>
      <c r="U14" s="2"/>
      <c r="V14" s="20"/>
      <c r="W14" s="2"/>
    </row>
    <row r="15" ht="15" customHeight="1" spans="2:25">
      <c r="B15" s="35" t="s">
        <v>39</v>
      </c>
      <c r="C15" s="40" t="s">
        <v>73</v>
      </c>
      <c r="D15" s="36">
        <f>2306781/10000</f>
        <v>230.6781</v>
      </c>
      <c r="E15" s="36">
        <v>0</v>
      </c>
      <c r="F15" s="36">
        <v>0</v>
      </c>
      <c r="G15" s="36">
        <v>0</v>
      </c>
      <c r="H15" s="36">
        <f>SUM(D15:G15)</f>
        <v>230.6781</v>
      </c>
      <c r="I15" s="37" t="s">
        <v>17</v>
      </c>
      <c r="J15" s="38"/>
      <c r="K15" s="39"/>
      <c r="L15" s="41"/>
      <c r="M15" s="31"/>
      <c r="N15" s="32"/>
      <c r="O15" s="32"/>
      <c r="P15" s="2"/>
      <c r="Q15" s="2"/>
      <c r="R15" s="2"/>
      <c r="S15" s="2"/>
      <c r="T15" s="2"/>
      <c r="U15" s="2"/>
      <c r="V15" s="34"/>
      <c r="W15" s="2"/>
    </row>
    <row r="16" ht="21" customHeight="1" spans="2:25">
      <c r="B16" s="43" t="s">
        <v>98</v>
      </c>
      <c r="C16" s="44" t="s">
        <v>99</v>
      </c>
      <c r="D16" s="45"/>
      <c r="E16" s="45"/>
      <c r="F16" s="45"/>
      <c r="G16" s="46">
        <f>SUM(,G17:G22)</f>
        <v>25.26031264</v>
      </c>
      <c r="H16" s="47">
        <f t="shared" ref="H16:H24" si="2">G16</f>
        <v>25.26031264</v>
      </c>
      <c r="I16" s="43" t="str">
        <f>I5</f>
        <v>km</v>
      </c>
      <c r="J16" s="48"/>
      <c r="K16" s="29"/>
      <c r="L16" s="49">
        <f>+H16/H30</f>
        <v>0.0634318620341922</v>
      </c>
      <c r="M16" s="50"/>
      <c r="N16" s="51"/>
      <c r="O16" s="51"/>
      <c r="P16" s="2"/>
      <c r="Q16" s="2"/>
      <c r="R16" s="2"/>
      <c r="S16" s="2"/>
      <c r="T16" s="2"/>
      <c r="U16" s="2"/>
      <c r="V16" s="20"/>
      <c r="W16" s="52"/>
    </row>
    <row r="17" s="2" customFormat="1" ht="16.5" customHeight="1" spans="2:25">
      <c r="B17" s="53">
        <v>1</v>
      </c>
      <c r="C17" s="54" t="s">
        <v>130</v>
      </c>
      <c r="D17" s="55" t="s">
        <v>131</v>
      </c>
      <c r="E17" s="55"/>
      <c r="F17" s="55"/>
      <c r="G17" s="56">
        <v>6.3954</v>
      </c>
      <c r="H17" s="56">
        <f t="shared" si="2"/>
        <v>6.3954</v>
      </c>
      <c r="I17" s="57"/>
      <c r="J17" s="57"/>
      <c r="K17" s="57"/>
      <c r="L17" s="58"/>
      <c r="M17" s="59">
        <f t="shared" ref="M17:M22" si="3">H17/$H$5</f>
        <v>0.0176977877350241</v>
      </c>
      <c r="N17" s="60"/>
      <c r="O17" s="60"/>
      <c r="P17" s="2"/>
      <c r="Q17" s="2"/>
      <c r="R17" s="2"/>
      <c r="S17" s="2"/>
      <c r="T17" s="2"/>
      <c r="U17" s="2"/>
      <c r="V17" s="60"/>
      <c r="W17" s="61"/>
      <c r="X17" s="6"/>
      <c r="Y17" s="6"/>
    </row>
    <row r="18" s="2" customFormat="1" ht="16.5" customHeight="1" spans="2:25">
      <c r="B18" s="53">
        <v>2</v>
      </c>
      <c r="C18" s="54" t="s">
        <v>132</v>
      </c>
      <c r="D18" s="55" t="s">
        <v>316</v>
      </c>
      <c r="E18" s="55"/>
      <c r="F18" s="55"/>
      <c r="G18" s="56">
        <v>1.26</v>
      </c>
      <c r="H18" s="56">
        <f t="shared" si="2"/>
        <v>1.26</v>
      </c>
      <c r="I18" s="57"/>
      <c r="J18" s="57"/>
      <c r="K18" s="57"/>
      <c r="L18" s="58"/>
      <c r="M18" s="59">
        <f t="shared" si="3"/>
        <v>0.00348675806769402</v>
      </c>
      <c r="N18" s="60"/>
      <c r="O18" s="60"/>
      <c r="P18" s="2"/>
      <c r="Q18" s="2"/>
      <c r="R18" s="2"/>
      <c r="S18" s="2"/>
      <c r="T18" s="2"/>
      <c r="U18" s="2"/>
      <c r="V18" s="60"/>
      <c r="W18" s="61"/>
      <c r="X18" s="6"/>
      <c r="Y18" s="6"/>
    </row>
    <row r="19" ht="16.5" customHeight="1" spans="2:25">
      <c r="B19" s="53">
        <v>3</v>
      </c>
      <c r="C19" s="54" t="s">
        <v>134</v>
      </c>
      <c r="D19" s="55" t="s">
        <v>135</v>
      </c>
      <c r="E19" s="55"/>
      <c r="F19" s="55"/>
      <c r="G19" s="56">
        <f>IF(H5&lt;=1000,H5*(2.5-1)/1000+H5*3/1000+H5*1.5/1000,IF(AND(H5&gt;1000,H5&lt;=3000),2.5+(H5-1000)*(6-2.5)/2000+5+(H5-1000)*7/2000+2.5+(H5-1000)*2.5/2000,IF(AND(H5&gt;3000,H5&lt;=10000),6+(H5-3000)*8/7000+12+(H5-3000)*16/7000+5+(H5-3000)*5/7000,IF(AND(H5&gt;10000,H5&lt;=50000),14+(H5-10000)*23/40000+28+(H5-10000)*47/40000+10+(H5-10000)*5/40000))))</f>
        <v>2.1682032</v>
      </c>
      <c r="H19" s="56">
        <f t="shared" si="2"/>
        <v>2.1682032</v>
      </c>
      <c r="I19" s="57"/>
      <c r="J19" s="57"/>
      <c r="K19" s="57"/>
      <c r="L19" s="58"/>
      <c r="M19" s="59">
        <f t="shared" si="3"/>
        <v>0.006</v>
      </c>
      <c r="N19" s="60"/>
      <c r="O19" s="60"/>
      <c r="P19" s="2"/>
      <c r="Q19" s="2"/>
      <c r="R19" s="2"/>
      <c r="S19" s="2"/>
      <c r="T19" s="2"/>
      <c r="U19" s="2"/>
      <c r="V19" s="60"/>
      <c r="W19" s="61"/>
    </row>
    <row r="20" s="2" customFormat="1" ht="16.5" customHeight="1" spans="2:25">
      <c r="B20" s="53">
        <v>4</v>
      </c>
      <c r="C20" s="54" t="s">
        <v>138</v>
      </c>
      <c r="D20" s="55" t="s">
        <v>139</v>
      </c>
      <c r="E20" s="55"/>
      <c r="F20" s="55"/>
      <c r="G20" s="56">
        <v>13.5576</v>
      </c>
      <c r="H20" s="56">
        <f t="shared" si="2"/>
        <v>13.5576</v>
      </c>
      <c r="I20" s="57"/>
      <c r="J20" s="57"/>
      <c r="K20" s="57"/>
      <c r="L20" s="58"/>
      <c r="M20" s="59">
        <f t="shared" si="3"/>
        <v>0.0375175168083877</v>
      </c>
      <c r="N20" s="60"/>
      <c r="O20" s="60"/>
      <c r="P20" s="2"/>
      <c r="Q20" s="2"/>
      <c r="R20" s="2"/>
      <c r="S20" s="2"/>
      <c r="T20" s="2"/>
      <c r="U20" s="2"/>
      <c r="V20" s="60"/>
      <c r="W20" s="61"/>
      <c r="X20" s="6"/>
      <c r="Y20" s="6"/>
    </row>
    <row r="21" ht="16.5" customHeight="1" spans="2:25">
      <c r="B21" s="53">
        <v>5</v>
      </c>
      <c r="C21" s="54" t="s">
        <v>147</v>
      </c>
      <c r="D21" s="62" t="s">
        <v>148</v>
      </c>
      <c r="E21" s="62"/>
      <c r="F21" s="62"/>
      <c r="G21" s="56">
        <f>H5*0.4%</f>
        <v>1.4454688</v>
      </c>
      <c r="H21" s="56">
        <f t="shared" si="2"/>
        <v>1.4454688</v>
      </c>
      <c r="I21" s="57"/>
      <c r="J21" s="57"/>
      <c r="K21" s="57"/>
      <c r="L21" s="58"/>
      <c r="M21" s="59">
        <f t="shared" si="3"/>
        <v>0.004</v>
      </c>
      <c r="N21" s="60"/>
      <c r="O21" s="60"/>
      <c r="P21" s="2"/>
      <c r="Q21" s="2"/>
      <c r="R21" s="2"/>
      <c r="S21" s="2"/>
      <c r="T21" s="2"/>
      <c r="U21" s="2"/>
      <c r="V21" s="60"/>
      <c r="W21" s="61"/>
    </row>
    <row r="22" ht="16.5" customHeight="1" spans="2:25">
      <c r="B22" s="53">
        <v>6</v>
      </c>
      <c r="C22" s="54" t="s">
        <v>324</v>
      </c>
      <c r="D22" s="55" t="s">
        <v>325</v>
      </c>
      <c r="E22" s="55"/>
      <c r="F22" s="55"/>
      <c r="G22" s="56">
        <f>H5*0.1*0.012</f>
        <v>0.43364064</v>
      </c>
      <c r="H22" s="56">
        <f t="shared" si="2"/>
        <v>0.43364064</v>
      </c>
      <c r="I22" s="57"/>
      <c r="J22" s="57"/>
      <c r="K22" s="57"/>
      <c r="L22" s="58"/>
      <c r="M22" s="59">
        <f t="shared" si="3"/>
        <v>0.0012</v>
      </c>
      <c r="N22" s="60"/>
      <c r="O22" s="60"/>
      <c r="P22" s="2"/>
      <c r="Q22" s="2"/>
      <c r="R22" s="2"/>
      <c r="S22" s="2"/>
      <c r="T22" s="2"/>
      <c r="U22" s="2"/>
      <c r="V22" s="60"/>
      <c r="W22" s="61"/>
    </row>
    <row r="23" ht="18" customHeight="1" spans="2:25">
      <c r="B23" s="63" t="s">
        <v>161</v>
      </c>
      <c r="C23" s="64" t="s">
        <v>162</v>
      </c>
      <c r="D23" s="65"/>
      <c r="E23" s="65"/>
      <c r="F23" s="65"/>
      <c r="G23" s="65">
        <f>SUM(G24:G25)</f>
        <v>11.6</v>
      </c>
      <c r="H23" s="65">
        <f t="shared" si="2"/>
        <v>11.6</v>
      </c>
      <c r="I23" s="63"/>
      <c r="J23" s="63"/>
      <c r="K23" s="63"/>
      <c r="L23" s="30">
        <f>+H23/H30</f>
        <v>0.0291290773033215</v>
      </c>
      <c r="M23" s="63"/>
      <c r="N23" s="66"/>
      <c r="O23" s="66"/>
      <c r="P23" s="2"/>
      <c r="Q23" s="2"/>
      <c r="R23" s="2"/>
      <c r="S23" s="2"/>
      <c r="T23" s="2"/>
      <c r="U23" s="2"/>
      <c r="V23" s="66"/>
      <c r="W23" s="67"/>
    </row>
    <row r="24" ht="18" customHeight="1" spans="2:25">
      <c r="B24" s="68">
        <v>1</v>
      </c>
      <c r="C24" s="69" t="s">
        <v>163</v>
      </c>
      <c r="D24" s="70" t="s">
        <v>348</v>
      </c>
      <c r="E24" s="70"/>
      <c r="F24" s="70"/>
      <c r="G24" s="70">
        <f>ROUND((H5+H16)*3%,2)</f>
        <v>11.6</v>
      </c>
      <c r="H24" s="70">
        <f t="shared" si="2"/>
        <v>11.6</v>
      </c>
      <c r="I24" s="68"/>
      <c r="J24" s="68"/>
      <c r="K24" s="68"/>
      <c r="L24" s="41"/>
      <c r="M24" s="71">
        <v>0.03</v>
      </c>
      <c r="N24" s="72"/>
      <c r="O24" s="72"/>
      <c r="P24" s="2"/>
      <c r="Q24" s="2"/>
      <c r="R24" s="2"/>
      <c r="S24" s="2"/>
      <c r="T24" s="2"/>
      <c r="U24" s="2"/>
      <c r="V24" s="72"/>
      <c r="W24" s="67"/>
    </row>
    <row r="25" ht="18" customHeight="1" spans="2:25">
      <c r="B25" s="68">
        <v>2</v>
      </c>
      <c r="C25" s="69" t="s">
        <v>165</v>
      </c>
      <c r="D25" s="70"/>
      <c r="E25" s="70"/>
      <c r="F25" s="70"/>
      <c r="G25" s="70"/>
      <c r="H25" s="70"/>
      <c r="I25" s="68"/>
      <c r="J25" s="68"/>
      <c r="K25" s="68"/>
      <c r="L25" s="41"/>
      <c r="M25" s="68"/>
      <c r="N25" s="73"/>
      <c r="O25" s="73"/>
      <c r="P25" s="2"/>
      <c r="Q25" s="2"/>
      <c r="R25" s="2"/>
      <c r="S25" s="2"/>
      <c r="T25" s="2"/>
      <c r="U25" s="2"/>
      <c r="V25" s="73"/>
      <c r="W25" s="67"/>
    </row>
    <row r="26" ht="24" customHeight="1" spans="2:25">
      <c r="B26" s="63" t="s">
        <v>166</v>
      </c>
      <c r="C26" s="64" t="s">
        <v>167</v>
      </c>
      <c r="D26" s="65">
        <f t="shared" ref="D26:F26" si="4">D5</f>
        <v>350.5727</v>
      </c>
      <c r="E26" s="65">
        <f t="shared" si="4"/>
        <v>10.7945</v>
      </c>
      <c r="F26" s="65">
        <f t="shared" si="4"/>
        <v>0</v>
      </c>
      <c r="G26" s="65">
        <f>G16+G23</f>
        <v>36.86031264</v>
      </c>
      <c r="H26" s="65">
        <f>H5+H16+H23</f>
        <v>398.22751264</v>
      </c>
      <c r="I26" s="74"/>
      <c r="J26" s="75"/>
      <c r="K26" s="29"/>
      <c r="L26" s="30">
        <f>+H26/H30</f>
        <v>1</v>
      </c>
      <c r="M26" s="63"/>
      <c r="N26" s="66"/>
      <c r="O26" s="66"/>
      <c r="P26" s="2"/>
      <c r="Q26" s="2"/>
      <c r="R26" s="2"/>
      <c r="S26" s="2"/>
      <c r="T26" s="2"/>
      <c r="U26" s="2"/>
      <c r="V26" s="66"/>
      <c r="W26" s="67"/>
    </row>
    <row r="27" ht="24" customHeight="1" spans="2:25">
      <c r="B27" s="63" t="s">
        <v>168</v>
      </c>
      <c r="C27" s="64" t="s">
        <v>169</v>
      </c>
      <c r="D27" s="65"/>
      <c r="E27" s="65"/>
      <c r="F27" s="65"/>
      <c r="G27" s="65">
        <f>H27</f>
        <v>0</v>
      </c>
      <c r="H27" s="65">
        <f>SUM(D41:E42)*0</f>
        <v>0</v>
      </c>
      <c r="I27" s="63"/>
      <c r="J27" s="75"/>
      <c r="K27" s="63"/>
      <c r="L27" s="30"/>
      <c r="M27" s="63"/>
      <c r="N27" s="66"/>
      <c r="O27" s="66"/>
      <c r="P27" s="2"/>
      <c r="Q27" s="2"/>
      <c r="R27" s="2"/>
      <c r="S27" s="2"/>
      <c r="T27" s="2"/>
      <c r="U27" s="2"/>
      <c r="V27" s="66"/>
      <c r="W27" s="67"/>
    </row>
    <row r="28" ht="24" customHeight="1" spans="2:25">
      <c r="B28" s="63" t="s">
        <v>170</v>
      </c>
      <c r="C28" s="64" t="s">
        <v>171</v>
      </c>
      <c r="D28" s="65"/>
      <c r="E28" s="65"/>
      <c r="F28" s="65"/>
      <c r="G28" s="65"/>
      <c r="H28" s="65"/>
      <c r="I28" s="63"/>
      <c r="J28" s="75"/>
      <c r="K28" s="63"/>
      <c r="L28" s="30"/>
      <c r="M28" s="63"/>
      <c r="N28" s="66"/>
      <c r="O28" s="66"/>
      <c r="P28" s="76"/>
      <c r="Q28" s="76"/>
      <c r="R28" s="67"/>
      <c r="U28" s="76"/>
      <c r="V28" s="66"/>
      <c r="W28" s="67"/>
    </row>
    <row r="29" ht="18" customHeight="1" spans="2:25">
      <c r="B29" s="63" t="s">
        <v>172</v>
      </c>
      <c r="C29" s="64" t="s">
        <v>173</v>
      </c>
      <c r="D29" s="65"/>
      <c r="E29" s="65"/>
      <c r="F29" s="65"/>
      <c r="G29" s="65"/>
      <c r="H29" s="65"/>
      <c r="I29" s="63"/>
      <c r="J29" s="75"/>
      <c r="K29" s="63"/>
      <c r="L29" s="30"/>
      <c r="M29" s="63"/>
      <c r="N29" s="66"/>
      <c r="O29" s="66"/>
      <c r="P29" s="76"/>
      <c r="Q29" s="76"/>
      <c r="R29" s="67"/>
      <c r="U29" s="76"/>
      <c r="V29" s="66"/>
      <c r="W29" s="67"/>
    </row>
    <row r="30" ht="18" customHeight="1" spans="2:25">
      <c r="B30" s="63" t="s">
        <v>174</v>
      </c>
      <c r="C30" s="64" t="s">
        <v>175</v>
      </c>
      <c r="D30" s="65">
        <f t="shared" ref="D30:H30" si="5">D26+D27+D28+D29</f>
        <v>350.5727</v>
      </c>
      <c r="E30" s="65">
        <f t="shared" si="5"/>
        <v>10.7945</v>
      </c>
      <c r="F30" s="65">
        <f t="shared" si="5"/>
        <v>0</v>
      </c>
      <c r="G30" s="65">
        <f t="shared" si="5"/>
        <v>36.86031264</v>
      </c>
      <c r="H30" s="65">
        <f t="shared" si="5"/>
        <v>398.22751264</v>
      </c>
      <c r="I30" s="74"/>
      <c r="J30" s="75"/>
      <c r="K30" s="29"/>
      <c r="L30" s="30">
        <f>+H30/H30</f>
        <v>1</v>
      </c>
      <c r="M30" s="63"/>
      <c r="N30" s="66"/>
      <c r="O30" s="66"/>
      <c r="P30" s="76"/>
      <c r="Q30" s="76"/>
      <c r="R30" s="67"/>
      <c r="U30" s="76"/>
      <c r="V30" s="66"/>
      <c r="W30" s="67"/>
    </row>
    <row r="32" spans="2:25">
      <c r="G32" s="34"/>
      <c r="H32" s="34"/>
      <c r="I32" s="77"/>
    </row>
    <row r="33" spans="2:8">
      <c r="B33" s="78"/>
    </row>
    <row r="34" spans="2:8">
      <c r="C34" s="79"/>
      <c r="D34" s="80"/>
      <c r="E34" s="81"/>
      <c r="H34" s="82"/>
    </row>
    <row r="46" hidden="1"/>
    <row r="47" hidden="1"/>
    <row r="48" hidden="1"/>
    <row r="49" hidden="1"/>
  </sheetData>
  <mergeCells count="16">
    <mergeCell ref="B1:M1"/>
    <mergeCell ref="D3:H3"/>
    <mergeCell ref="I3:K3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B3:B4"/>
    <mergeCell ref="C3:C4"/>
    <mergeCell ref="L3:L4"/>
    <mergeCell ref="M3:M4"/>
  </mergeCells>
  <pageMargins left="0.75" right="0.75" top="1" bottom="1" header="0.5" footer="0.5"/>
  <pageSetup paperSize="9" scale="77" orientation="portrait"/>
  <headerFooter/>
  <ignoredErrors>
    <ignoredError sqref="B3:O4 C15 E14:I14 E15:G15 I15 B14:C14 H13:I13 B13 G12:I12 C12:D12 E10:I11 C10:C11 H9:I9 B9 E7:I8 C7:C8 H6:I6 B6 I5 B5:C5 L5:O6 M7:O8 L9:O9 M10:O12 L13:O13 M14:O15 H16:I16 B16:F16 V1:Y1 C1:O1 B24:C24 E24:F24 I24:L24 N24:Y24 B25:Y25 B26:H26 L26:Y26 B27:Y29 B30:H30 L30:Y30 J33:Y45 B33:B45 B31:Y32 B23:F23 H21:Y23 C17:F22 H17:O20 V3:Y20 L16:O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投资估算表修编（底稿）</vt:lpstr>
      <vt:lpstr>投资概算表 (方案二雨污全新)</vt:lpstr>
      <vt:lpstr>投资概算表（方案三雨修污新）</vt:lpstr>
      <vt:lpstr>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林锴</dc:creator>
  <cp:lastModifiedBy>刹华</cp:lastModifiedBy>
  <dcterms:created xsi:type="dcterms:W3CDTF">2006-09-16T00:00:00Z</dcterms:created>
  <dcterms:modified xsi:type="dcterms:W3CDTF">2026-01-14T01:35:35Z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08FF02082DDF4D7AA44A3F83EB439BA3_13</vt:lpwstr>
  </property>
  <property fmtid="{D5CDD505-2E9C-101B-9397-08002B2CF9AE}" pid="4" name="CalculationRule">
    <vt:i4>0</vt:i4>
  </property>
</Properties>
</file>