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概算表 单位;元）" sheetId="1" r:id="rId1"/>
    <sheet name="概算表   单位;万元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<sst xmlns="http://schemas.openxmlformats.org/spreadsheetml/2006/main" count="251" uniqueCount="100">
  <si>
    <t>概算表</t>
  </si>
  <si>
    <t>序号</t>
  </si>
  <si>
    <t>工程及费用名称</t>
  </si>
  <si>
    <t>概  算  价  值  (元)</t>
  </si>
  <si>
    <t>技术经济指标</t>
  </si>
  <si>
    <t>占总投资(%)</t>
  </si>
  <si>
    <t>备注</t>
  </si>
  <si>
    <t>建筑工程</t>
  </si>
  <si>
    <t>安装工程</t>
  </si>
  <si>
    <t>设备仪器</t>
  </si>
  <si>
    <t>工器具及生产家具购置费</t>
  </si>
  <si>
    <t>其它工程</t>
  </si>
  <si>
    <t>合计</t>
  </si>
  <si>
    <t>单位</t>
  </si>
  <si>
    <t>数量</t>
  </si>
  <si>
    <t>单位价值
(元)</t>
  </si>
  <si>
    <t>一</t>
  </si>
  <si>
    <t>第一部分工程费用</t>
  </si>
  <si>
    <t>m</t>
  </si>
  <si>
    <t/>
  </si>
  <si>
    <t>北青坑排口截流减溢改造工程</t>
  </si>
  <si>
    <t>濑下桥排口</t>
  </si>
  <si>
    <t>林业局排口截流减溢改造工程</t>
  </si>
  <si>
    <t>将军庙</t>
  </si>
  <si>
    <t>环卫基地</t>
  </si>
  <si>
    <t>华清楼排口截流减溢改造工程</t>
  </si>
  <si>
    <t>金坪里溪排口截流减溢改造工程</t>
  </si>
  <si>
    <t>二</t>
  </si>
  <si>
    <t>第二部分工程建设其它费用</t>
  </si>
  <si>
    <t>二类费说明</t>
  </si>
  <si>
    <t>2-1</t>
  </si>
  <si>
    <t>建设用地费及青苗补偿费</t>
  </si>
  <si>
    <t>2-2</t>
  </si>
  <si>
    <t>建设单位管理费</t>
  </si>
  <si>
    <r>
      <rPr>
        <sz val="10"/>
        <color indexed="8"/>
        <rFont val="宋体"/>
        <charset val="134"/>
      </rPr>
      <t>财建【2</t>
    </r>
    <r>
      <rPr>
        <sz val="10"/>
        <color indexed="8"/>
        <rFont val="宋体"/>
        <charset val="134"/>
      </rPr>
      <t>016】504号</t>
    </r>
  </si>
  <si>
    <t>2-3</t>
  </si>
  <si>
    <t>施工图设计文件审查费</t>
  </si>
  <si>
    <t>闽价服【2012】237号</t>
  </si>
  <si>
    <r>
      <rPr>
        <sz val="10"/>
        <color indexed="8"/>
        <rFont val="宋体"/>
        <charset val="134"/>
      </rPr>
      <t>按市政工程</t>
    </r>
    <r>
      <rPr>
        <sz val="10"/>
        <color indexed="8"/>
        <rFont val="Arial"/>
        <charset val="134"/>
      </rPr>
      <t>+</t>
    </r>
    <r>
      <rPr>
        <sz val="10"/>
        <color indexed="8"/>
        <rFont val="宋体"/>
        <charset val="134"/>
      </rPr>
      <t>建筑工程</t>
    </r>
    <r>
      <rPr>
        <sz val="10"/>
        <color indexed="8"/>
        <rFont val="Arial"/>
        <charset val="134"/>
      </rPr>
      <t>+</t>
    </r>
    <r>
      <rPr>
        <sz val="10"/>
        <color indexed="8"/>
        <rFont val="宋体"/>
        <charset val="134"/>
      </rPr>
      <t>工程勘察三类考虑</t>
    </r>
  </si>
  <si>
    <t>2-4</t>
  </si>
  <si>
    <t>工程造价咨询服务费</t>
  </si>
  <si>
    <t>合同文件</t>
  </si>
  <si>
    <t>2-5</t>
  </si>
  <si>
    <t>建设工程监理费</t>
  </si>
  <si>
    <t>2-6</t>
  </si>
  <si>
    <t>前期工作咨询费</t>
  </si>
  <si>
    <t>闽价【2000】房字422号</t>
  </si>
  <si>
    <t>2-7</t>
  </si>
  <si>
    <t>工程设计费</t>
  </si>
  <si>
    <t>2-8</t>
  </si>
  <si>
    <t>溯源排查费</t>
  </si>
  <si>
    <t>2-9</t>
  </si>
  <si>
    <t>建设单位临时设施费</t>
  </si>
  <si>
    <r>
      <rPr>
        <sz val="10"/>
        <color indexed="8"/>
        <rFont val="宋体"/>
        <charset val="134"/>
      </rPr>
      <t>建标【2</t>
    </r>
    <r>
      <rPr>
        <sz val="10"/>
        <color indexed="8"/>
        <rFont val="宋体"/>
        <charset val="134"/>
      </rPr>
      <t>007】164号</t>
    </r>
  </si>
  <si>
    <t>2-10</t>
  </si>
  <si>
    <t>工程保险费</t>
  </si>
  <si>
    <t>建标【2007】164号</t>
  </si>
  <si>
    <t>2-11</t>
  </si>
  <si>
    <t>工程款支付担保费</t>
  </si>
  <si>
    <t>闽建筑【2021】21号</t>
  </si>
  <si>
    <t>2-12</t>
  </si>
  <si>
    <t>联合试运转费</t>
  </si>
  <si>
    <t>2-13</t>
  </si>
  <si>
    <t>竣工图测量费</t>
  </si>
  <si>
    <t>2-14</t>
  </si>
  <si>
    <t>竣工图ccTV检测费</t>
  </si>
  <si>
    <t>2-15</t>
  </si>
  <si>
    <t>地形图采买费</t>
  </si>
  <si>
    <t>2-16</t>
  </si>
  <si>
    <t>工程质量检测费</t>
  </si>
  <si>
    <r>
      <rPr>
        <sz val="10"/>
        <color indexed="8"/>
        <rFont val="宋体"/>
        <charset val="134"/>
      </rPr>
      <t>闽建建</t>
    </r>
    <r>
      <rPr>
        <sz val="13"/>
        <color indexed="8"/>
        <rFont val="Times New Roman"/>
        <charset val="134"/>
      </rPr>
      <t>[2025]1</t>
    </r>
    <r>
      <rPr>
        <sz val="13"/>
        <color indexed="8"/>
        <rFont val="仿宋_GB2312"/>
        <charset val="134"/>
      </rPr>
      <t>号</t>
    </r>
  </si>
  <si>
    <t>三</t>
  </si>
  <si>
    <t>工程预备费</t>
  </si>
  <si>
    <t>3-1</t>
  </si>
  <si>
    <t>基本预备费</t>
  </si>
  <si>
    <t>3-2</t>
  </si>
  <si>
    <t>涨价预备费</t>
  </si>
  <si>
    <t>四</t>
  </si>
  <si>
    <t>工程静态投资</t>
  </si>
  <si>
    <t>五</t>
  </si>
  <si>
    <t>建设期贷款利息</t>
  </si>
  <si>
    <t>六</t>
  </si>
  <si>
    <t>固定资产投资方向调节税</t>
  </si>
  <si>
    <t>七</t>
  </si>
  <si>
    <t>工程造价</t>
  </si>
  <si>
    <t>八</t>
  </si>
  <si>
    <t>铺底流动资金</t>
  </si>
  <si>
    <t>九</t>
  </si>
  <si>
    <t>建设总投资</t>
  </si>
  <si>
    <t>工程总概算表</t>
  </si>
  <si>
    <t>项目名称：城区12个入河排口整治提升项目</t>
  </si>
  <si>
    <t>概  算  价  值  (万元)</t>
  </si>
  <si>
    <t>单位价值
(元)</t>
  </si>
  <si>
    <t>（1）</t>
  </si>
  <si>
    <t>城区12个入河排口整治提升项目（项目包一）</t>
  </si>
  <si>
    <t>（2）</t>
  </si>
  <si>
    <t>城区12个入河排口整治提升项目（项目包二）</t>
  </si>
  <si>
    <t>（3）</t>
  </si>
  <si>
    <t>城区12个入河排口整治提升项目（项目包三）</t>
  </si>
  <si>
    <t>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</si>
</sst>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9">
    <font>
      <sz val="10"/>
      <color indexed="8"/>
      <name val="Arial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color indexed="8"/>
      <name val="Times New Roman"/>
      <charset val="134"/>
    </font>
    <font>
      <sz val="13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64">
    <xf numFmtId="0" fontId="0" fillId="0" borderId="0" xfId="0"/>
    <xf numFmtId="176" fontId="0" fillId="0" borderId="0" xfId="0" applyNumberFormat="1"/>
    <xf numFmtId="177" fontId="0" fillId="0" borderId="0" xfId="0" applyNumberFormat="1"/>
    <xf numFmtId="10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176" fontId="0" fillId="0" borderId="0" xfId="0" applyNumberFormat="1" applyFill="1"/>
    <xf numFmtId="177" fontId="0" fillId="0" borderId="0" xfId="0" applyNumberFormat="1" applyFill="1"/>
    <xf numFmtId="10" fontId="0" fillId="0" borderId="0" xfId="0" applyNumberForma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/>
    <xf numFmtId="176" fontId="0" fillId="0" borderId="3" xfId="0" applyNumberFormat="1" applyFill="1" applyBorder="1"/>
    <xf numFmtId="0" fontId="0" fillId="0" borderId="2" xfId="0" applyFill="1" applyBorder="1"/>
    <xf numFmtId="177" fontId="0" fillId="0" borderId="3" xfId="0" applyNumberFormat="1" applyFill="1" applyBorder="1"/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0" fillId="0" borderId="4" xfId="0" applyFill="1" applyBorder="1"/>
    <xf numFmtId="177" fontId="2" fillId="0" borderId="1" xfId="0" applyNumberFormat="1" applyFont="1" applyFill="1" applyBorder="1" applyAlignment="1">
      <alignment horizontal="center" vertical="center" wrapText="1"/>
    </xf>
    <xf numFmtId="10" fontId="0" fillId="0" borderId="4" xfId="0" applyNumberFormat="1" applyFill="1" applyBorder="1"/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 shrinkToFit="1"/>
    </xf>
    <xf numFmtId="178" fontId="3" fillId="0" borderId="1" xfId="0" applyNumberFormat="1" applyFont="1" applyFill="1" applyBorder="1" applyAlignment="1">
      <alignment horizontal="right" vertical="center" wrapText="1" shrinkToFit="1"/>
    </xf>
    <xf numFmtId="177" fontId="3" fillId="0" borderId="1" xfId="0" applyNumberFormat="1" applyFont="1" applyFill="1" applyBorder="1" applyAlignment="1">
      <alignment horizontal="right" vertical="center" wrapText="1" shrinkToFit="1"/>
    </xf>
    <xf numFmtId="10" fontId="3" fillId="0" borderId="1" xfId="0" applyNumberFormat="1" applyFont="1" applyFill="1" applyBorder="1" applyAlignment="1">
      <alignment horizontal="right" vertical="center" wrapText="1" shrinkToFit="1"/>
    </xf>
    <xf numFmtId="10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right" vertical="center" wrapText="1" shrinkToFit="1"/>
    </xf>
    <xf numFmtId="178" fontId="2" fillId="0" borderId="1" xfId="0" applyNumberFormat="1" applyFont="1" applyFill="1" applyBorder="1" applyAlignment="1">
      <alignment horizontal="right" vertical="center" wrapText="1" shrinkToFit="1"/>
    </xf>
    <xf numFmtId="177" fontId="2" fillId="0" borderId="1" xfId="0" applyNumberFormat="1" applyFont="1" applyFill="1" applyBorder="1" applyAlignment="1">
      <alignment horizontal="right" vertical="center" wrapText="1" shrinkToFit="1"/>
    </xf>
    <xf numFmtId="10" fontId="2" fillId="0" borderId="1" xfId="0" applyNumberFormat="1" applyFont="1" applyFill="1" applyBorder="1" applyAlignment="1">
      <alignment horizontal="right" vertical="center" wrapText="1" shrinkToFit="1"/>
    </xf>
    <xf numFmtId="10" fontId="2" fillId="0" borderId="1" xfId="0" applyNumberFormat="1" applyFont="1" applyFill="1" applyBorder="1" applyAlignment="1">
      <alignment horizontal="righ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76" fontId="2" fillId="0" borderId="5" xfId="0" applyNumberFormat="1" applyFont="1" applyFill="1" applyBorder="1" applyAlignment="1">
      <alignment horizontal="center" vertical="center" wrapText="1" shrinkToFit="1"/>
    </xf>
    <xf numFmtId="176" fontId="0" fillId="0" borderId="2" xfId="0" applyNumberFormat="1" applyFill="1" applyBorder="1" applyAlignment="1">
      <alignment horizontal="center" vertical="center" wrapText="1" shrinkToFit="1"/>
    </xf>
    <xf numFmtId="176" fontId="0" fillId="0" borderId="6" xfId="0" applyNumberFormat="1" applyFill="1" applyBorder="1" applyAlignment="1">
      <alignment horizontal="center" vertical="center" wrapText="1" shrinkToFit="1"/>
    </xf>
    <xf numFmtId="1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/>
    <xf numFmtId="10" fontId="2" fillId="0" borderId="0" xfId="0" applyNumberFormat="1" applyFont="1" applyBorder="1" applyAlignment="1">
      <alignment horizontal="center" vertical="center" wrapText="1" shrinkToFit="1"/>
    </xf>
    <xf numFmtId="0" fontId="0" fillId="2" borderId="1" xfId="0" applyFill="1" applyBorder="1"/>
    <xf numFmtId="178" fontId="2" fillId="0" borderId="5" xfId="0" applyNumberFormat="1" applyFont="1" applyFill="1" applyBorder="1" applyAlignment="1">
      <alignment horizontal="center" vertical="center" wrapText="1" shrinkToFit="1"/>
    </xf>
    <xf numFmtId="178" fontId="0" fillId="0" borderId="2" xfId="0" applyNumberFormat="1" applyFill="1" applyBorder="1" applyAlignment="1">
      <alignment horizontal="center" vertical="center" wrapText="1" shrinkToFit="1"/>
    </xf>
    <xf numFmtId="178" fontId="0" fillId="0" borderId="6" xfId="0" applyNumberFormat="1" applyFill="1" applyBorder="1" applyAlignment="1">
      <alignment horizontal="center" vertical="center" wrapText="1" shrinkToFit="1"/>
    </xf>
    <xf numFmtId="176" fontId="5" fillId="0" borderId="5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6" xfId="0" applyNumberFormat="1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Fill="1" applyBorder="1" applyAlignment="1">
      <alignment horizontal="center" vertical="center" wrapText="1" shrinkToFit="1"/>
    </xf>
    <xf numFmtId="0" fontId="0" fillId="3" borderId="0" xfId="0" applyFill="1"/>
    <xf numFmtId="10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3" xfId="0" applyFill="1" applyBorder="1"/>
    <xf numFmtId="178" fontId="5" fillId="0" borderId="5" xfId="0" applyNumberFormat="1" applyFont="1" applyFill="1" applyBorder="1" applyAlignment="1">
      <alignment horizontal="center" vertical="center" wrapText="1" shrinkToFit="1"/>
    </xf>
    <xf numFmtId="178" fontId="6" fillId="0" borderId="2" xfId="0" applyNumberFormat="1" applyFont="1" applyFill="1" applyBorder="1" applyAlignment="1">
      <alignment horizontal="center" vertical="center" wrapText="1" shrinkToFit="1"/>
    </xf>
    <xf numFmtId="178" fontId="6" fillId="0" borderId="6" xfId="0" applyNumberFormat="1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 shrinkToFit="1"/>
    </xf>
    <xf numFmtId="178" fontId="2" fillId="0" borderId="6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opLeftCell="A19" workbookViewId="0">
      <selection activeCell="L16" sqref="L16"/>
    </sheetView>
  </sheetViews>
  <sheetFormatPr defaultColWidth="9.14285714285714" defaultRowHeight="12.75"/>
  <cols>
    <col min="1" max="1" width="7.28571428571429" customWidth="1"/>
    <col min="2" max="2" width="21.1428571428571" customWidth="1"/>
    <col min="3" max="3" width="10.2857142857143" customWidth="1"/>
    <col min="4" max="4" width="10" customWidth="1"/>
    <col min="5" max="5" width="9.57142857142857" customWidth="1"/>
    <col min="6" max="6" width="13" customWidth="1"/>
    <col min="7" max="7" width="9.57142857142857" customWidth="1"/>
    <col min="8" max="8" width="10.5714285714286" customWidth="1"/>
    <col min="9" max="9" width="5.57142857142857" customWidth="1"/>
    <col min="10" max="10" width="9.14285714285714" customWidth="1"/>
    <col min="11" max="11" width="9.71428571428571" customWidth="1"/>
    <col min="12" max="12" width="8.42857142857143" customWidth="1"/>
    <col min="13" max="14" width="10.7142857142857" customWidth="1"/>
    <col min="15" max="15" width="50" customWidth="1"/>
    <col min="16" max="16" width="11.7142857142857" customWidth="1"/>
  </cols>
  <sheetData>
    <row r="1" ht="24.9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95" customHeight="1" spans="1:16">
      <c r="A2" s="10" t="s">
        <v>1</v>
      </c>
      <c r="B2" s="10" t="s">
        <v>2</v>
      </c>
      <c r="C2" s="10" t="s">
        <v>3</v>
      </c>
      <c r="D2" s="14"/>
      <c r="E2" s="14"/>
      <c r="F2" s="14"/>
      <c r="G2" s="14"/>
      <c r="H2" s="58"/>
      <c r="I2" s="10" t="s">
        <v>4</v>
      </c>
      <c r="J2" s="14"/>
      <c r="K2" s="58"/>
      <c r="L2" s="10" t="s">
        <v>5</v>
      </c>
      <c r="M2" s="10" t="s">
        <v>6</v>
      </c>
      <c r="N2" s="17"/>
      <c r="O2" s="18"/>
    </row>
    <row r="3" ht="24.95" customHeight="1" spans="1:16">
      <c r="A3" s="19"/>
      <c r="B3" s="19"/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9"/>
      <c r="M3" s="19"/>
      <c r="N3" s="22"/>
    </row>
    <row r="4" ht="24.95" customHeight="1" spans="1:16">
      <c r="A4" s="10" t="s">
        <v>16</v>
      </c>
      <c r="B4" s="33" t="s">
        <v>17</v>
      </c>
      <c r="C4" s="35">
        <f t="shared" ref="C4:H4" si="0">SUM(C5:C11)</f>
        <v>9367511</v>
      </c>
      <c r="D4" s="35">
        <f t="shared" si="0"/>
        <v>6589146</v>
      </c>
      <c r="E4" s="35">
        <f t="shared" si="0"/>
        <v>113406</v>
      </c>
      <c r="F4" s="35"/>
      <c r="G4" s="35"/>
      <c r="H4" s="35">
        <f t="shared" si="0"/>
        <v>16070063</v>
      </c>
      <c r="I4" s="10" t="s">
        <v>18</v>
      </c>
      <c r="J4" s="35">
        <f>SUM(J5:J11)</f>
        <v>20219</v>
      </c>
      <c r="K4" s="35">
        <f>H4/J4</f>
        <v>794.800089025174</v>
      </c>
      <c r="L4" s="44">
        <f t="shared" ref="L4:L11" si="1">H4/$H$37</f>
        <v>0.771584213600475</v>
      </c>
      <c r="M4" s="38" t="s">
        <v>19</v>
      </c>
      <c r="N4" s="30"/>
      <c r="P4">
        <f>H4*0.005</f>
        <v>80350.315</v>
      </c>
    </row>
    <row r="5" ht="24.95" customHeight="1" spans="1:16">
      <c r="A5" s="10">
        <v>1</v>
      </c>
      <c r="B5" s="33" t="s">
        <v>20</v>
      </c>
      <c r="C5" s="35">
        <f>319996-D5-E5</f>
        <v>181055</v>
      </c>
      <c r="D5" s="35">
        <f>25073+113868-E5</f>
        <v>83871</v>
      </c>
      <c r="E5" s="35">
        <v>55070</v>
      </c>
      <c r="F5" s="35"/>
      <c r="G5" s="35"/>
      <c r="H5" s="35">
        <f t="shared" ref="H5:H11" si="2">SUM(C5:G5)</f>
        <v>319996</v>
      </c>
      <c r="I5" s="10" t="s">
        <v>18</v>
      </c>
      <c r="J5" s="35">
        <f>26+4+88+6</f>
        <v>124</v>
      </c>
      <c r="K5" s="35">
        <f>H5/J5</f>
        <v>2580.61290322581</v>
      </c>
      <c r="L5" s="44">
        <f t="shared" si="1"/>
        <v>0.0153642124499013</v>
      </c>
      <c r="M5" s="38"/>
      <c r="N5" s="30"/>
    </row>
    <row r="6" ht="24.95" customHeight="1" spans="1:16">
      <c r="A6" s="10">
        <v>2</v>
      </c>
      <c r="B6" s="33" t="s">
        <v>21</v>
      </c>
      <c r="C6" s="35">
        <v>216263</v>
      </c>
      <c r="D6" s="35">
        <v>282816</v>
      </c>
      <c r="E6" s="35"/>
      <c r="F6" s="35"/>
      <c r="G6" s="35"/>
      <c r="H6" s="35">
        <f t="shared" si="2"/>
        <v>499079</v>
      </c>
      <c r="I6" s="10" t="s">
        <v>18</v>
      </c>
      <c r="J6" s="35">
        <f>95+50</f>
        <v>145</v>
      </c>
      <c r="K6" s="35">
        <f>H6/J6</f>
        <v>3441.92413793103</v>
      </c>
      <c r="L6" s="44">
        <f t="shared" si="1"/>
        <v>0.0239626613622804</v>
      </c>
      <c r="M6" s="38"/>
      <c r="N6" s="30"/>
    </row>
    <row r="7" ht="24.95" customHeight="1" spans="1:16">
      <c r="A7" s="10">
        <v>3</v>
      </c>
      <c r="B7" s="33" t="s">
        <v>22</v>
      </c>
      <c r="C7" s="35">
        <v>583370</v>
      </c>
      <c r="D7" s="35">
        <v>2462989</v>
      </c>
      <c r="E7" s="35"/>
      <c r="F7" s="35"/>
      <c r="G7" s="35"/>
      <c r="H7" s="35">
        <f t="shared" si="2"/>
        <v>3046359</v>
      </c>
      <c r="I7" s="10" t="s">
        <v>18</v>
      </c>
      <c r="J7" s="35">
        <f>(11+8+30+171+6)+(162+98+43+10)+(28)</f>
        <v>567</v>
      </c>
      <c r="K7" s="35">
        <f>H7/J7</f>
        <v>5372.7671957672</v>
      </c>
      <c r="L7" s="44">
        <f t="shared" si="1"/>
        <v>0.146267162322869</v>
      </c>
      <c r="M7" s="38"/>
      <c r="N7" s="30"/>
    </row>
    <row r="8" ht="24.95" customHeight="1" spans="1:16">
      <c r="A8" s="10">
        <v>4</v>
      </c>
      <c r="B8" s="33" t="s">
        <v>23</v>
      </c>
      <c r="C8" s="35">
        <v>79792</v>
      </c>
      <c r="D8" s="35"/>
      <c r="E8" s="35"/>
      <c r="F8" s="35"/>
      <c r="G8" s="35"/>
      <c r="H8" s="35">
        <f t="shared" si="2"/>
        <v>79792</v>
      </c>
      <c r="I8" s="10" t="s">
        <v>18</v>
      </c>
      <c r="J8" s="35">
        <v>28</v>
      </c>
      <c r="K8" s="35">
        <f>H8/J8</f>
        <v>2849.71428571429</v>
      </c>
      <c r="L8" s="44">
        <f t="shared" si="1"/>
        <v>0.00383111426331117</v>
      </c>
      <c r="M8" s="38"/>
      <c r="N8" s="30"/>
    </row>
    <row r="9" ht="24.95" customHeight="1" spans="1:16">
      <c r="A9" s="10">
        <v>5</v>
      </c>
      <c r="B9" s="33" t="s">
        <v>24</v>
      </c>
      <c r="C9" s="35">
        <v>27569</v>
      </c>
      <c r="D9" s="35"/>
      <c r="E9" s="35"/>
      <c r="F9" s="35"/>
      <c r="G9" s="35"/>
      <c r="H9" s="35">
        <f t="shared" si="2"/>
        <v>27569</v>
      </c>
      <c r="I9" s="10"/>
      <c r="J9" s="35"/>
      <c r="K9" s="35"/>
      <c r="L9" s="44">
        <f t="shared" si="1"/>
        <v>0.00132369146186617</v>
      </c>
      <c r="M9" s="38"/>
      <c r="N9" s="30"/>
    </row>
    <row r="10" ht="24.95" customHeight="1" spans="1:16">
      <c r="A10" s="10">
        <v>6</v>
      </c>
      <c r="B10" s="33" t="s">
        <v>25</v>
      </c>
      <c r="C10" s="35">
        <f>4874108-D10</f>
        <v>1213805</v>
      </c>
      <c r="D10" s="35">
        <v>3660303</v>
      </c>
      <c r="E10" s="35"/>
      <c r="F10" s="35"/>
      <c r="G10" s="35"/>
      <c r="H10" s="35">
        <f t="shared" si="2"/>
        <v>4874108</v>
      </c>
      <c r="I10" s="10" t="s">
        <v>18</v>
      </c>
      <c r="J10" s="35">
        <f>298+763+23+22+400+950+(84+316+130+100+10)+4000</f>
        <v>7096</v>
      </c>
      <c r="K10" s="35">
        <f>H10/J10</f>
        <v>686.881059751973</v>
      </c>
      <c r="L10" s="44">
        <f t="shared" si="1"/>
        <v>0.234024271602656</v>
      </c>
      <c r="M10" s="38"/>
      <c r="N10" s="30"/>
    </row>
    <row r="11" ht="24.95" customHeight="1" spans="1:16">
      <c r="A11" s="10">
        <v>7</v>
      </c>
      <c r="B11" s="33" t="s">
        <v>26</v>
      </c>
      <c r="C11" s="35">
        <f>7223160-D11-E11</f>
        <v>7065657</v>
      </c>
      <c r="D11" s="35">
        <f>45413+112090-E11</f>
        <v>99167</v>
      </c>
      <c r="E11" s="35">
        <v>58336</v>
      </c>
      <c r="F11" s="35"/>
      <c r="G11" s="35"/>
      <c r="H11" s="35">
        <f t="shared" si="2"/>
        <v>7223160</v>
      </c>
      <c r="I11" s="10" t="s">
        <v>18</v>
      </c>
      <c r="J11" s="35">
        <f>150+966+289+6970+2990+894</f>
        <v>12259</v>
      </c>
      <c r="K11" s="35">
        <f>H11/J11</f>
        <v>589.212823231911</v>
      </c>
      <c r="L11" s="44">
        <f t="shared" si="1"/>
        <v>0.346811100137592</v>
      </c>
      <c r="M11" s="38"/>
      <c r="N11" s="30"/>
    </row>
    <row r="12" ht="24.95" customHeight="1" spans="1:16">
      <c r="A12" s="10" t="s">
        <v>27</v>
      </c>
      <c r="B12" s="33" t="s">
        <v>28</v>
      </c>
      <c r="C12" s="35"/>
      <c r="D12" s="35"/>
      <c r="E12" s="35"/>
      <c r="F12" s="35"/>
      <c r="G12" s="35">
        <f>H12</f>
        <v>3214530.56825</v>
      </c>
      <c r="H12" s="35">
        <f>SUM(H13:H28)</f>
        <v>3214530.56825</v>
      </c>
      <c r="I12" s="10" t="s">
        <v>18</v>
      </c>
      <c r="J12" s="35">
        <f>J4</f>
        <v>20219</v>
      </c>
      <c r="K12" s="35">
        <f>H12/J12</f>
        <v>158.985635701568</v>
      </c>
      <c r="L12" s="44">
        <f>H12/H37</f>
        <v>0.15434171232545</v>
      </c>
      <c r="M12" s="38" t="s">
        <v>19</v>
      </c>
      <c r="N12" s="30"/>
      <c r="O12" s="40" t="s">
        <v>29</v>
      </c>
    </row>
    <row r="13" ht="24.95" customHeight="1" spans="1:16">
      <c r="A13" s="10" t="s">
        <v>30</v>
      </c>
      <c r="B13" s="33" t="s">
        <v>31</v>
      </c>
      <c r="C13" s="48"/>
      <c r="D13" s="49"/>
      <c r="E13" s="49"/>
      <c r="F13" s="50"/>
      <c r="G13" s="35">
        <f>H13</f>
        <v>332565</v>
      </c>
      <c r="H13" s="35">
        <v>332565</v>
      </c>
      <c r="I13" s="10" t="s">
        <v>19</v>
      </c>
      <c r="J13" s="35"/>
      <c r="K13" s="35"/>
      <c r="L13" s="44"/>
      <c r="M13" s="38" t="s">
        <v>19</v>
      </c>
      <c r="N13" s="30"/>
      <c r="O13" s="45"/>
    </row>
    <row r="14" ht="24.95" customHeight="1" spans="1:16">
      <c r="A14" s="10" t="s">
        <v>32</v>
      </c>
      <c r="B14" s="33" t="s">
        <v>33</v>
      </c>
      <c r="C14" s="48" t="s">
        <v>34</v>
      </c>
      <c r="D14" s="49"/>
      <c r="E14" s="49"/>
      <c r="F14" s="50"/>
      <c r="G14" s="35">
        <f>H14</f>
        <v>291050.945</v>
      </c>
      <c r="H14" s="35">
        <f>20*10000+(H4-1000*10000)*1.5%</f>
        <v>291050.945</v>
      </c>
      <c r="I14" s="10" t="s">
        <v>19</v>
      </c>
      <c r="J14" s="35"/>
      <c r="K14" s="35"/>
      <c r="L14" s="44">
        <f>H14/H37</f>
        <v>0.0139744514079068</v>
      </c>
      <c r="M14" s="44"/>
      <c r="N14" s="46"/>
      <c r="O14" s="45"/>
    </row>
    <row r="15" ht="24.95" customHeight="1" spans="1:16">
      <c r="A15" s="10" t="s">
        <v>35</v>
      </c>
      <c r="B15" s="33" t="s">
        <v>36</v>
      </c>
      <c r="C15" s="48" t="s">
        <v>37</v>
      </c>
      <c r="D15" s="49"/>
      <c r="E15" s="49"/>
      <c r="F15" s="50"/>
      <c r="G15" s="35">
        <f>H15</f>
        <v>37656.0504</v>
      </c>
      <c r="H15" s="35">
        <f>100*10000*0.17%+400*10000*0.14%+500*10000*0.11%+(H4-1000*10000)*0.08%+1000*10000*0.2%</f>
        <v>37656.0504</v>
      </c>
      <c r="I15" s="10"/>
      <c r="J15" s="35"/>
      <c r="K15" s="35"/>
      <c r="L15" s="44">
        <f>H15/H37</f>
        <v>0.00180800872001459</v>
      </c>
      <c r="M15" s="44"/>
      <c r="N15" s="46"/>
      <c r="O15" s="47" t="s">
        <v>38</v>
      </c>
    </row>
    <row r="16" ht="24.95" customHeight="1" spans="1:16">
      <c r="A16" s="10" t="s">
        <v>39</v>
      </c>
      <c r="B16" s="33" t="s">
        <v>40</v>
      </c>
      <c r="C16" s="48" t="s">
        <v>41</v>
      </c>
      <c r="D16" s="49"/>
      <c r="E16" s="49"/>
      <c r="F16" s="50"/>
      <c r="G16" s="35">
        <f>H16</f>
        <v>48540</v>
      </c>
      <c r="H16" s="35">
        <v>48540</v>
      </c>
      <c r="I16" s="10"/>
      <c r="J16" s="35"/>
      <c r="K16" s="35"/>
      <c r="L16" s="44">
        <f>H16/H37</f>
        <v>0.00233058810834575</v>
      </c>
      <c r="M16" s="44"/>
      <c r="N16" s="46"/>
      <c r="O16" s="45"/>
    </row>
    <row r="17" ht="24.95" customHeight="1" spans="1:15">
      <c r="A17" s="10" t="s">
        <v>42</v>
      </c>
      <c r="B17" s="33" t="s">
        <v>43</v>
      </c>
      <c r="C17" s="48" t="s">
        <v>41</v>
      </c>
      <c r="D17" s="49"/>
      <c r="E17" s="49"/>
      <c r="F17" s="50"/>
      <c r="G17" s="35">
        <f t="shared" ref="G17:G28" si="3">H17</f>
        <v>395500</v>
      </c>
      <c r="H17" s="35">
        <v>395500</v>
      </c>
      <c r="I17" s="10" t="s">
        <v>19</v>
      </c>
      <c r="J17" s="35"/>
      <c r="K17" s="35"/>
      <c r="L17" s="44">
        <f>H17/H37</f>
        <v>0.018989443692846</v>
      </c>
      <c r="M17" s="44"/>
      <c r="N17" s="46"/>
      <c r="O17" s="45"/>
    </row>
    <row r="18" ht="24.95" customHeight="1" spans="1:15">
      <c r="A18" s="10" t="s">
        <v>44</v>
      </c>
      <c r="B18" s="33" t="s">
        <v>45</v>
      </c>
      <c r="C18" s="59" t="s">
        <v>46</v>
      </c>
      <c r="D18" s="60"/>
      <c r="E18" s="60"/>
      <c r="F18" s="61"/>
      <c r="G18" s="35">
        <f t="shared" si="3"/>
        <v>103832.79925</v>
      </c>
      <c r="H18" s="35">
        <f>7.5*10000+(H4-1000*10000)/(2000*10000)*(17-7.5)*10000</f>
        <v>103832.79925</v>
      </c>
      <c r="I18" s="10"/>
      <c r="J18" s="35"/>
      <c r="K18" s="35"/>
      <c r="L18" s="44">
        <f>H18/H37</f>
        <v>0.00498540352674705</v>
      </c>
      <c r="M18" s="44"/>
      <c r="N18" s="46"/>
      <c r="O18" s="45"/>
    </row>
    <row r="19" ht="24.95" customHeight="1" spans="1:15">
      <c r="A19" s="10" t="s">
        <v>47</v>
      </c>
      <c r="B19" s="33" t="s">
        <v>48</v>
      </c>
      <c r="C19" s="48" t="s">
        <v>41</v>
      </c>
      <c r="D19" s="49"/>
      <c r="E19" s="49"/>
      <c r="F19" s="50"/>
      <c r="G19" s="35">
        <f t="shared" si="3"/>
        <v>521850</v>
      </c>
      <c r="H19" s="35">
        <v>521850</v>
      </c>
      <c r="I19" s="10" t="s">
        <v>19</v>
      </c>
      <c r="J19" s="35"/>
      <c r="K19" s="35"/>
      <c r="L19" s="44">
        <f>H19/H37</f>
        <v>0.0250559827841004</v>
      </c>
      <c r="M19" s="44"/>
      <c r="N19" s="46"/>
      <c r="O19" s="45"/>
    </row>
    <row r="20" ht="24.95" customHeight="1" spans="1:15">
      <c r="A20" s="10" t="s">
        <v>49</v>
      </c>
      <c r="B20" s="33" t="s">
        <v>50</v>
      </c>
      <c r="C20" s="48" t="s">
        <v>41</v>
      </c>
      <c r="D20" s="49"/>
      <c r="E20" s="49"/>
      <c r="F20" s="50"/>
      <c r="G20" s="35">
        <f t="shared" si="3"/>
        <v>443106</v>
      </c>
      <c r="H20" s="35">
        <v>443106</v>
      </c>
      <c r="I20" s="10" t="s">
        <v>19</v>
      </c>
      <c r="J20" s="35"/>
      <c r="K20" s="35"/>
      <c r="L20" s="44">
        <f>H20/H37</f>
        <v>0.0212751869455429</v>
      </c>
      <c r="M20" s="44"/>
      <c r="N20" s="46"/>
      <c r="O20" s="45"/>
    </row>
    <row r="21" ht="24.95" customHeight="1" spans="1:15">
      <c r="A21" s="10" t="s">
        <v>51</v>
      </c>
      <c r="B21" s="33" t="s">
        <v>52</v>
      </c>
      <c r="C21" s="48" t="s">
        <v>53</v>
      </c>
      <c r="D21" s="62"/>
      <c r="E21" s="62"/>
      <c r="F21" s="63"/>
      <c r="G21" s="35">
        <f t="shared" si="3"/>
        <v>160700.63</v>
      </c>
      <c r="H21" s="35">
        <f>H4*M21</f>
        <v>160700.63</v>
      </c>
      <c r="I21" s="10" t="s">
        <v>19</v>
      </c>
      <c r="J21" s="35"/>
      <c r="K21" s="35"/>
      <c r="L21" s="44">
        <f>H21/H37</f>
        <v>0.00771584213600475</v>
      </c>
      <c r="M21" s="44">
        <v>0.01</v>
      </c>
      <c r="N21" s="46"/>
      <c r="O21" s="45"/>
    </row>
    <row r="22" ht="24.95" customHeight="1" spans="1:15">
      <c r="A22" s="10" t="s">
        <v>54</v>
      </c>
      <c r="B22" s="33" t="s">
        <v>55</v>
      </c>
      <c r="C22" s="48" t="s">
        <v>56</v>
      </c>
      <c r="D22" s="62"/>
      <c r="E22" s="62"/>
      <c r="F22" s="63"/>
      <c r="G22" s="35">
        <f t="shared" si="3"/>
        <v>64280.252</v>
      </c>
      <c r="H22" s="35">
        <f>H4*M22</f>
        <v>64280.252</v>
      </c>
      <c r="I22" s="10" t="s">
        <v>19</v>
      </c>
      <c r="J22" s="35"/>
      <c r="K22" s="35"/>
      <c r="L22" s="44">
        <f>H22/H37</f>
        <v>0.0030863368544019</v>
      </c>
      <c r="M22" s="44">
        <v>0.004</v>
      </c>
      <c r="N22" s="46"/>
      <c r="O22" s="45"/>
    </row>
    <row r="23" ht="24.95" customHeight="1" spans="1:15">
      <c r="A23" s="10" t="s">
        <v>57</v>
      </c>
      <c r="B23" s="33" t="s">
        <v>58</v>
      </c>
      <c r="C23" s="48" t="s">
        <v>59</v>
      </c>
      <c r="D23" s="62"/>
      <c r="E23" s="62"/>
      <c r="F23" s="63"/>
      <c r="G23" s="35">
        <f t="shared" si="3"/>
        <v>19284.0756</v>
      </c>
      <c r="H23" s="35">
        <f>H4*M23</f>
        <v>19284.0756</v>
      </c>
      <c r="I23" s="10"/>
      <c r="J23" s="35"/>
      <c r="K23" s="35"/>
      <c r="L23" s="44"/>
      <c r="M23" s="44">
        <v>0.0012</v>
      </c>
      <c r="N23" s="46"/>
      <c r="O23" s="45"/>
    </row>
    <row r="24" ht="24.95" customHeight="1" spans="1:15">
      <c r="A24" s="10" t="s">
        <v>60</v>
      </c>
      <c r="B24" s="33" t="s">
        <v>61</v>
      </c>
      <c r="C24" s="48"/>
      <c r="D24" s="62"/>
      <c r="E24" s="62"/>
      <c r="F24" s="63"/>
      <c r="G24" s="35">
        <f t="shared" si="3"/>
        <v>1134.06</v>
      </c>
      <c r="H24" s="35">
        <f>E4*M24</f>
        <v>1134.06</v>
      </c>
      <c r="I24" s="10"/>
      <c r="J24" s="35"/>
      <c r="K24" s="35"/>
      <c r="L24" s="44"/>
      <c r="M24" s="44">
        <v>0.01</v>
      </c>
      <c r="N24" s="46"/>
    </row>
    <row r="25" ht="24.95" customHeight="1" spans="1:15">
      <c r="A25" s="10" t="s">
        <v>62</v>
      </c>
      <c r="B25" s="33" t="s">
        <v>63</v>
      </c>
      <c r="C25" s="48"/>
      <c r="D25" s="62"/>
      <c r="E25" s="62"/>
      <c r="F25" s="63"/>
      <c r="G25" s="35">
        <f t="shared" si="3"/>
        <v>80350.315</v>
      </c>
      <c r="H25" s="35">
        <f>H4*0.005</f>
        <v>80350.315</v>
      </c>
      <c r="I25" s="10"/>
      <c r="J25" s="35"/>
      <c r="K25" s="35"/>
      <c r="L25" s="44"/>
      <c r="M25" s="44"/>
      <c r="N25" s="46"/>
    </row>
    <row r="26" ht="24.95" customHeight="1" spans="1:15">
      <c r="A26" s="10" t="s">
        <v>64</v>
      </c>
      <c r="B26" s="33" t="s">
        <v>65</v>
      </c>
      <c r="C26" s="48"/>
      <c r="D26" s="62"/>
      <c r="E26" s="62"/>
      <c r="F26" s="63"/>
      <c r="G26" s="35">
        <f t="shared" si="3"/>
        <v>202190</v>
      </c>
      <c r="H26" s="35">
        <f>J26*K26</f>
        <v>202190</v>
      </c>
      <c r="I26" s="10" t="s">
        <v>18</v>
      </c>
      <c r="J26" s="35">
        <f>J4</f>
        <v>20219</v>
      </c>
      <c r="K26" s="35">
        <v>10</v>
      </c>
      <c r="L26" s="44"/>
      <c r="M26" s="44"/>
      <c r="N26" s="46"/>
    </row>
    <row r="27" ht="24.95" customHeight="1" spans="1:15">
      <c r="A27" s="10" t="s">
        <v>66</v>
      </c>
      <c r="B27" s="33" t="s">
        <v>67</v>
      </c>
      <c r="C27" s="48"/>
      <c r="D27" s="62"/>
      <c r="E27" s="62"/>
      <c r="F27" s="63"/>
      <c r="G27" s="35">
        <f t="shared" si="3"/>
        <v>350000</v>
      </c>
      <c r="H27" s="35">
        <v>350000</v>
      </c>
      <c r="I27" s="10"/>
      <c r="J27" s="35"/>
      <c r="K27" s="35"/>
      <c r="L27" s="44"/>
      <c r="M27" s="44"/>
      <c r="N27" s="46"/>
    </row>
    <row r="28" ht="24.95" customHeight="1" spans="1:15">
      <c r="A28" s="10" t="s">
        <v>68</v>
      </c>
      <c r="B28" s="33" t="s">
        <v>69</v>
      </c>
      <c r="C28" s="48" t="s">
        <v>70</v>
      </c>
      <c r="D28" s="62"/>
      <c r="E28" s="62"/>
      <c r="F28" s="63"/>
      <c r="G28" s="35">
        <f t="shared" si="3"/>
        <v>162490.441</v>
      </c>
      <c r="H28" s="35">
        <f>1000*10000*1.2%+(H4-1000*10000)*0.7%</f>
        <v>162490.441</v>
      </c>
      <c r="I28" s="10"/>
      <c r="J28" s="35"/>
      <c r="K28" s="35"/>
      <c r="L28" s="44"/>
      <c r="M28" s="44"/>
      <c r="N28" s="46"/>
      <c r="O28" s="56"/>
    </row>
    <row r="29" ht="24.95" customHeight="1" spans="1:15">
      <c r="A29" s="10" t="s">
        <v>71</v>
      </c>
      <c r="B29" s="33" t="s">
        <v>72</v>
      </c>
      <c r="C29" s="35"/>
      <c r="D29" s="35"/>
      <c r="E29" s="35"/>
      <c r="F29" s="35"/>
      <c r="G29" s="35">
        <f>G30</f>
        <v>1542767.48546</v>
      </c>
      <c r="H29" s="35">
        <f>H30</f>
        <v>1542767.48546</v>
      </c>
      <c r="I29" s="10" t="s">
        <v>18</v>
      </c>
      <c r="J29" s="35">
        <f>J4</f>
        <v>20219</v>
      </c>
      <c r="K29" s="35">
        <f>H29/J29</f>
        <v>76.3028579781394</v>
      </c>
      <c r="L29" s="44">
        <f>H29/H37</f>
        <v>0.0740740740740741</v>
      </c>
      <c r="M29" s="44"/>
      <c r="N29" s="30"/>
    </row>
    <row r="30" ht="24.95" customHeight="1" spans="1:15">
      <c r="A30" s="10" t="s">
        <v>73</v>
      </c>
      <c r="B30" s="33" t="s">
        <v>74</v>
      </c>
      <c r="C30" s="35"/>
      <c r="D30" s="35"/>
      <c r="E30" s="35"/>
      <c r="F30" s="35"/>
      <c r="G30" s="35">
        <f>H30</f>
        <v>1542767.48546</v>
      </c>
      <c r="H30" s="35">
        <f>(H4+H12)*M30</f>
        <v>1542767.48546</v>
      </c>
      <c r="I30" s="10" t="s">
        <v>19</v>
      </c>
      <c r="J30" s="35"/>
      <c r="K30" s="35"/>
      <c r="L30" s="44">
        <f>H30/H37</f>
        <v>0.0740740740740741</v>
      </c>
      <c r="M30" s="44">
        <v>0.08</v>
      </c>
      <c r="N30" s="30"/>
    </row>
    <row r="31" ht="24.95" customHeight="1" spans="1:15">
      <c r="A31" s="10" t="s">
        <v>75</v>
      </c>
      <c r="B31" s="33" t="s">
        <v>76</v>
      </c>
      <c r="C31" s="35"/>
      <c r="D31" s="35"/>
      <c r="E31" s="35"/>
      <c r="F31" s="35"/>
      <c r="G31" s="35"/>
      <c r="H31" s="35"/>
      <c r="I31" s="10" t="s">
        <v>19</v>
      </c>
      <c r="J31" s="35"/>
      <c r="K31" s="35"/>
      <c r="L31" s="44"/>
      <c r="M31" s="38" t="s">
        <v>19</v>
      </c>
      <c r="N31" s="30"/>
    </row>
    <row r="32" ht="24.95" customHeight="1" spans="1:15">
      <c r="A32" s="10" t="s">
        <v>77</v>
      </c>
      <c r="B32" s="33" t="s">
        <v>78</v>
      </c>
      <c r="C32" s="35"/>
      <c r="D32" s="35"/>
      <c r="E32" s="35"/>
      <c r="F32" s="35"/>
      <c r="G32" s="35"/>
      <c r="H32" s="35">
        <f>H4+H12+H29</f>
        <v>20827361.05371</v>
      </c>
      <c r="I32" s="10" t="s">
        <v>18</v>
      </c>
      <c r="J32" s="35">
        <f>J4</f>
        <v>20219</v>
      </c>
      <c r="K32" s="35">
        <f>H32/J32</f>
        <v>1030.08858270488</v>
      </c>
      <c r="L32" s="44">
        <f>H32/H37</f>
        <v>1</v>
      </c>
      <c r="M32" s="38" t="s">
        <v>19</v>
      </c>
      <c r="N32" s="30"/>
    </row>
    <row r="33" ht="24.95" customHeight="1" spans="1:14">
      <c r="A33" s="10" t="s">
        <v>79</v>
      </c>
      <c r="B33" s="33" t="s">
        <v>80</v>
      </c>
      <c r="C33" s="35"/>
      <c r="D33" s="35"/>
      <c r="E33" s="35"/>
      <c r="F33" s="35"/>
      <c r="G33" s="35"/>
      <c r="H33" s="35"/>
      <c r="I33" s="10" t="s">
        <v>19</v>
      </c>
      <c r="J33" s="35"/>
      <c r="K33" s="35"/>
      <c r="L33" s="44"/>
      <c r="M33" s="38" t="s">
        <v>19</v>
      </c>
      <c r="N33" s="30"/>
    </row>
    <row r="34" ht="24.95" customHeight="1" spans="1:14">
      <c r="A34" s="10" t="s">
        <v>81</v>
      </c>
      <c r="B34" s="33" t="s">
        <v>82</v>
      </c>
      <c r="C34" s="35"/>
      <c r="D34" s="35"/>
      <c r="E34" s="35"/>
      <c r="F34" s="35"/>
      <c r="G34" s="35"/>
      <c r="H34" s="35"/>
      <c r="I34" s="10" t="s">
        <v>19</v>
      </c>
      <c r="J34" s="35"/>
      <c r="K34" s="35"/>
      <c r="L34" s="44"/>
      <c r="M34" s="38" t="s">
        <v>19</v>
      </c>
      <c r="N34" s="30"/>
    </row>
    <row r="35" ht="24.95" customHeight="1" spans="1:14">
      <c r="A35" s="10" t="s">
        <v>83</v>
      </c>
      <c r="B35" s="33" t="s">
        <v>84</v>
      </c>
      <c r="C35" s="35"/>
      <c r="D35" s="35"/>
      <c r="E35" s="35"/>
      <c r="F35" s="35"/>
      <c r="G35" s="35"/>
      <c r="H35" s="35">
        <f>SUM(H32:H34)</f>
        <v>20827361.05371</v>
      </c>
      <c r="I35" s="10" t="s">
        <v>18</v>
      </c>
      <c r="J35" s="35">
        <f>J4</f>
        <v>20219</v>
      </c>
      <c r="K35" s="35">
        <f>H35/J35</f>
        <v>1030.08858270488</v>
      </c>
      <c r="L35" s="44">
        <f>H35/H37</f>
        <v>1</v>
      </c>
      <c r="M35" s="38" t="s">
        <v>19</v>
      </c>
      <c r="N35" s="30"/>
    </row>
    <row r="36" ht="24.95" customHeight="1" spans="1:14">
      <c r="A36" s="10" t="s">
        <v>85</v>
      </c>
      <c r="B36" s="33" t="s">
        <v>86</v>
      </c>
      <c r="C36" s="35"/>
      <c r="D36" s="35"/>
      <c r="E36" s="35"/>
      <c r="F36" s="35"/>
      <c r="G36" s="35"/>
      <c r="H36" s="35"/>
      <c r="I36" s="10" t="s">
        <v>19</v>
      </c>
      <c r="J36" s="35"/>
      <c r="K36" s="35"/>
      <c r="L36" s="44"/>
      <c r="M36" s="38" t="s">
        <v>19</v>
      </c>
      <c r="N36" s="30"/>
    </row>
    <row r="37" ht="24.95" customHeight="1" spans="1:14">
      <c r="A37" s="10" t="s">
        <v>87</v>
      </c>
      <c r="B37" s="33" t="s">
        <v>88</v>
      </c>
      <c r="C37" s="35"/>
      <c r="D37" s="35"/>
      <c r="E37" s="35"/>
      <c r="F37" s="35"/>
      <c r="G37" s="35"/>
      <c r="H37" s="35">
        <f>SUM(H35:H36)</f>
        <v>20827361.05371</v>
      </c>
      <c r="I37" s="10" t="s">
        <v>18</v>
      </c>
      <c r="J37" s="35">
        <f>J4</f>
        <v>20219</v>
      </c>
      <c r="K37" s="35">
        <f>H37/J37</f>
        <v>1030.08858270488</v>
      </c>
      <c r="L37" s="44">
        <f>H37/H37</f>
        <v>1</v>
      </c>
      <c r="M37" s="38" t="s">
        <v>19</v>
      </c>
      <c r="N37" s="30"/>
    </row>
  </sheetData>
  <mergeCells count="19">
    <mergeCell ref="A1:M1"/>
    <mergeCell ref="C2:H2"/>
    <mergeCell ref="I2:K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8:F28"/>
    <mergeCell ref="A2:A3"/>
    <mergeCell ref="B2:B3"/>
    <mergeCell ref="L2:L3"/>
    <mergeCell ref="M2:M3"/>
  </mergeCells>
  <pageMargins left="0.78740157480315" right="0" top="0.78740157480315" bottom="0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"/>
  <sheetViews>
    <sheetView tabSelected="1" workbookViewId="0">
      <selection activeCell="N19" sqref="N19"/>
    </sheetView>
  </sheetViews>
  <sheetFormatPr defaultColWidth="9.14285714285714" defaultRowHeight="12.75"/>
  <cols>
    <col min="1" max="1" width="7.28571428571429" customWidth="1"/>
    <col min="2" max="2" width="24.5714285714286" customWidth="1"/>
    <col min="3" max="3" width="10.2857142857143" style="1" customWidth="1"/>
    <col min="4" max="4" width="10" style="1" customWidth="1"/>
    <col min="5" max="5" width="9.57142857142857" style="1" customWidth="1"/>
    <col min="6" max="6" width="13" style="1" customWidth="1"/>
    <col min="7" max="7" width="9.57142857142857" style="1" customWidth="1"/>
    <col min="8" max="8" width="10.5714285714286" style="1" customWidth="1"/>
    <col min="9" max="9" width="5.57142857142857" customWidth="1"/>
    <col min="10" max="10" width="9.14285714285714" customWidth="1"/>
    <col min="11" max="11" width="9.71428571428571" style="2" customWidth="1"/>
    <col min="12" max="12" width="8.42857142857143" style="3" customWidth="1"/>
    <col min="13" max="14" width="10.7142857142857" customWidth="1"/>
    <col min="15" max="15" width="50" hidden="1" customWidth="1"/>
    <col min="16" max="16" width="9.14285714285714" hidden="1" customWidth="1"/>
    <col min="17" max="17" width="12.8571428571429" hidden="1" customWidth="1"/>
    <col min="18" max="19" width="9.14285714285714" hidden="1" customWidth="1"/>
  </cols>
  <sheetData>
    <row r="1" ht="24.95" customHeight="1" spans="1:17">
      <c r="A1" s="4" t="s">
        <v>89</v>
      </c>
      <c r="B1" s="5"/>
      <c r="C1" s="6"/>
      <c r="D1" s="6"/>
      <c r="E1" s="6"/>
      <c r="F1" s="6"/>
      <c r="G1" s="6"/>
      <c r="H1" s="6"/>
      <c r="I1" s="5"/>
      <c r="J1" s="5"/>
      <c r="K1" s="7"/>
      <c r="L1" s="8"/>
      <c r="M1" s="5"/>
    </row>
    <row r="2" ht="24.95" customHeight="1" spans="1:17">
      <c r="A2" s="9" t="s">
        <v>90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4.95" customHeight="1" spans="1:17">
      <c r="A3" s="10" t="s">
        <v>1</v>
      </c>
      <c r="B3" s="10" t="s">
        <v>2</v>
      </c>
      <c r="C3" s="11" t="s">
        <v>91</v>
      </c>
      <c r="D3" s="12"/>
      <c r="E3" s="12"/>
      <c r="F3" s="12"/>
      <c r="G3" s="12"/>
      <c r="H3" s="13"/>
      <c r="I3" s="10" t="s">
        <v>4</v>
      </c>
      <c r="J3" s="14"/>
      <c r="K3" s="15"/>
      <c r="L3" s="16" t="s">
        <v>5</v>
      </c>
      <c r="M3" s="10" t="s">
        <v>6</v>
      </c>
      <c r="N3" s="17"/>
      <c r="O3" s="18"/>
    </row>
    <row r="4" ht="24.95" customHeight="1" spans="1:17">
      <c r="A4" s="19"/>
      <c r="B4" s="19"/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0" t="s">
        <v>13</v>
      </c>
      <c r="J4" s="10" t="s">
        <v>14</v>
      </c>
      <c r="K4" s="20" t="s">
        <v>92</v>
      </c>
      <c r="L4" s="21"/>
      <c r="M4" s="19"/>
      <c r="N4" s="22"/>
    </row>
    <row r="5" ht="24.95" customHeight="1" spans="1:17">
      <c r="A5" s="23" t="s">
        <v>16</v>
      </c>
      <c r="B5" s="24" t="s">
        <v>17</v>
      </c>
      <c r="C5" s="25">
        <f>'概算表 单位;元）'!C4/10000</f>
        <v>936.7511</v>
      </c>
      <c r="D5" s="25">
        <f>'概算表 单位;元）'!D4/10000</f>
        <v>658.9146</v>
      </c>
      <c r="E5" s="25">
        <f>'概算表 单位;元）'!E4/10000</f>
        <v>11.3406</v>
      </c>
      <c r="F5" s="25"/>
      <c r="G5" s="25"/>
      <c r="H5" s="25">
        <f>SUM(C5:G5)</f>
        <v>1607.0063</v>
      </c>
      <c r="I5" s="23" t="s">
        <v>18</v>
      </c>
      <c r="J5" s="26">
        <f>'概算表 单位;元）'!J4</f>
        <v>20219</v>
      </c>
      <c r="K5" s="27">
        <f>'概算表 单位;元）'!K4</f>
        <v>794.800089025174</v>
      </c>
      <c r="L5" s="28">
        <f>'概算表 单位;元）'!L4</f>
        <v>0.771584213600475</v>
      </c>
      <c r="M5" s="29" t="s">
        <v>19</v>
      </c>
      <c r="N5" s="30"/>
      <c r="Q5">
        <v>2812.359</v>
      </c>
    </row>
    <row r="6" ht="24.95" customHeight="1" spans="1:17">
      <c r="A6" s="31" t="s">
        <v>93</v>
      </c>
      <c r="B6" s="32" t="s">
        <v>94</v>
      </c>
      <c r="C6" s="25">
        <f>SUM(C7:C11)</f>
        <v>108.8049</v>
      </c>
      <c r="D6" s="25">
        <f>SUM(D7:D11)</f>
        <v>282.9676</v>
      </c>
      <c r="E6" s="25"/>
      <c r="F6" s="25"/>
      <c r="G6" s="25"/>
      <c r="H6" s="25">
        <f>SUM(C6:G6)</f>
        <v>391.7725</v>
      </c>
      <c r="I6" s="23" t="s">
        <v>18</v>
      </c>
      <c r="J6" s="26">
        <f>SUM(J7:J10)</f>
        <v>864</v>
      </c>
      <c r="K6" s="27">
        <f>H6*10000/J6</f>
        <v>4534.40393518519</v>
      </c>
      <c r="L6" s="28"/>
      <c r="M6" s="29"/>
      <c r="N6" s="30"/>
    </row>
    <row r="7" ht="24.95" customHeight="1" spans="1:17">
      <c r="A7" s="10">
        <v>1.1</v>
      </c>
      <c r="B7" s="33" t="str">
        <f>'概算表 单位;元）'!B5</f>
        <v>北青坑排口截流减溢改造工程</v>
      </c>
      <c r="C7" s="34">
        <f>'概算表 单位;元）'!C5/10000</f>
        <v>18.1055</v>
      </c>
      <c r="D7" s="34">
        <f>'概算表 单位;元）'!D5/10000</f>
        <v>8.3871</v>
      </c>
      <c r="E7" s="34">
        <f>'概算表 单位;元）'!E5/10000</f>
        <v>5.507</v>
      </c>
      <c r="F7" s="34"/>
      <c r="G7" s="34"/>
      <c r="H7" s="34">
        <f t="shared" ref="H7:H15" si="0">SUM(C7:G7)</f>
        <v>31.9996</v>
      </c>
      <c r="I7" s="10" t="s">
        <v>18</v>
      </c>
      <c r="J7" s="35">
        <f>'概算表 单位;元）'!J5</f>
        <v>124</v>
      </c>
      <c r="K7" s="36">
        <f>'概算表 单位;元）'!K5</f>
        <v>2580.61290322581</v>
      </c>
      <c r="L7" s="37">
        <f>'概算表 单位;元）'!L5</f>
        <v>0.0153642124499013</v>
      </c>
      <c r="M7" s="38"/>
      <c r="N7" s="30"/>
    </row>
    <row r="8" ht="24.95" customHeight="1" spans="1:17">
      <c r="A8" s="10">
        <v>1.2</v>
      </c>
      <c r="B8" s="33" t="str">
        <f>'概算表 单位;元）'!B6</f>
        <v>濑下桥排口</v>
      </c>
      <c r="C8" s="34">
        <f>'概算表 单位;元）'!C6/10000</f>
        <v>21.6263</v>
      </c>
      <c r="D8" s="34">
        <f>'概算表 单位;元）'!D6/10000</f>
        <v>28.2816</v>
      </c>
      <c r="E8" s="34"/>
      <c r="F8" s="34"/>
      <c r="G8" s="34"/>
      <c r="H8" s="34">
        <f t="shared" si="0"/>
        <v>49.9079</v>
      </c>
      <c r="I8" s="10" t="s">
        <v>18</v>
      </c>
      <c r="J8" s="35">
        <f>'概算表 单位;元）'!J6</f>
        <v>145</v>
      </c>
      <c r="K8" s="36">
        <f>'概算表 单位;元）'!K6</f>
        <v>3441.92413793103</v>
      </c>
      <c r="L8" s="37">
        <f>'概算表 单位;元）'!L6</f>
        <v>0.0239626613622804</v>
      </c>
      <c r="M8" s="38"/>
      <c r="N8" s="30"/>
    </row>
    <row r="9" ht="24.95" customHeight="1" spans="1:17">
      <c r="A9" s="10">
        <v>1.3</v>
      </c>
      <c r="B9" s="33" t="str">
        <f>'概算表 单位;元）'!B7</f>
        <v>林业局排口截流减溢改造工程</v>
      </c>
      <c r="C9" s="34">
        <f>'概算表 单位;元）'!C7/10000</f>
        <v>58.337</v>
      </c>
      <c r="D9" s="34">
        <f>'概算表 单位;元）'!D7/10000</f>
        <v>246.2989</v>
      </c>
      <c r="E9" s="34"/>
      <c r="F9" s="34"/>
      <c r="G9" s="34"/>
      <c r="H9" s="34">
        <f t="shared" si="0"/>
        <v>304.6359</v>
      </c>
      <c r="I9" s="10" t="s">
        <v>18</v>
      </c>
      <c r="J9" s="35">
        <f>'概算表 单位;元）'!J7</f>
        <v>567</v>
      </c>
      <c r="K9" s="36">
        <f>'概算表 单位;元）'!K7</f>
        <v>5372.7671957672</v>
      </c>
      <c r="L9" s="37">
        <f>'概算表 单位;元）'!L7</f>
        <v>0.146267162322869</v>
      </c>
      <c r="M9" s="38"/>
      <c r="N9" s="30"/>
    </row>
    <row r="10" ht="24.95" customHeight="1" spans="1:17">
      <c r="A10" s="10">
        <v>1.4</v>
      </c>
      <c r="B10" s="33" t="str">
        <f>'概算表 单位;元）'!B8</f>
        <v>将军庙</v>
      </c>
      <c r="C10" s="34">
        <f>'概算表 单位;元）'!C8/10000</f>
        <v>7.9792</v>
      </c>
      <c r="D10" s="34"/>
      <c r="E10" s="34"/>
      <c r="F10" s="34"/>
      <c r="G10" s="34"/>
      <c r="H10" s="34">
        <f t="shared" si="0"/>
        <v>7.9792</v>
      </c>
      <c r="I10" s="10" t="s">
        <v>18</v>
      </c>
      <c r="J10" s="35">
        <f>'概算表 单位;元）'!J8</f>
        <v>28</v>
      </c>
      <c r="K10" s="36">
        <f>'概算表 单位;元）'!K8</f>
        <v>2849.71428571429</v>
      </c>
      <c r="L10" s="37">
        <f>'概算表 单位;元）'!L8</f>
        <v>0.00383111426331117</v>
      </c>
      <c r="M10" s="38"/>
      <c r="N10" s="30"/>
    </row>
    <row r="11" ht="24.95" customHeight="1" spans="1:17">
      <c r="A11" s="10">
        <v>1.5</v>
      </c>
      <c r="B11" s="33" t="str">
        <f>'概算表 单位;元）'!B9</f>
        <v>环卫基地</v>
      </c>
      <c r="C11" s="34">
        <f>'概算表 单位;元）'!C9/10000</f>
        <v>2.7569</v>
      </c>
      <c r="D11" s="34"/>
      <c r="E11" s="34"/>
      <c r="F11" s="34"/>
      <c r="G11" s="34"/>
      <c r="H11" s="34">
        <f t="shared" si="0"/>
        <v>2.7569</v>
      </c>
      <c r="I11" s="10"/>
      <c r="J11" s="35"/>
      <c r="K11" s="36"/>
      <c r="L11" s="37">
        <f>'概算表 单位;元）'!L9</f>
        <v>0.00132369146186617</v>
      </c>
      <c r="M11" s="38"/>
      <c r="N11" s="30"/>
    </row>
    <row r="12" ht="24.95" customHeight="1" spans="1:17">
      <c r="A12" s="31" t="s">
        <v>95</v>
      </c>
      <c r="B12" s="32" t="s">
        <v>96</v>
      </c>
      <c r="C12" s="25">
        <f>C13</f>
        <v>121.3805</v>
      </c>
      <c r="D12" s="25">
        <f>D13</f>
        <v>366.0303</v>
      </c>
      <c r="E12" s="25"/>
      <c r="F12" s="25"/>
      <c r="G12" s="25"/>
      <c r="H12" s="25">
        <f t="shared" si="0"/>
        <v>487.4108</v>
      </c>
      <c r="I12" s="23" t="s">
        <v>18</v>
      </c>
      <c r="J12" s="26">
        <f t="shared" ref="J12:L12" si="1">J13</f>
        <v>7096</v>
      </c>
      <c r="K12" s="27">
        <f t="shared" si="1"/>
        <v>686.881059751973</v>
      </c>
      <c r="L12" s="26">
        <f t="shared" si="1"/>
        <v>0.234024271602656</v>
      </c>
      <c r="M12" s="29"/>
      <c r="N12" s="30"/>
    </row>
    <row r="13" ht="24.95" customHeight="1" spans="1:17">
      <c r="A13" s="10">
        <v>2.1</v>
      </c>
      <c r="B13" s="33" t="str">
        <f>'概算表 单位;元）'!B10</f>
        <v>华清楼排口截流减溢改造工程</v>
      </c>
      <c r="C13" s="34">
        <f>'概算表 单位;元）'!C10/10000</f>
        <v>121.3805</v>
      </c>
      <c r="D13" s="34">
        <f>'概算表 单位;元）'!D10/10000</f>
        <v>366.0303</v>
      </c>
      <c r="E13" s="34"/>
      <c r="F13" s="34"/>
      <c r="G13" s="34"/>
      <c r="H13" s="34">
        <f t="shared" si="0"/>
        <v>487.4108</v>
      </c>
      <c r="I13" s="10" t="s">
        <v>18</v>
      </c>
      <c r="J13" s="35">
        <f>'概算表 单位;元）'!J10</f>
        <v>7096</v>
      </c>
      <c r="K13" s="36">
        <f>'概算表 单位;元）'!K10</f>
        <v>686.881059751973</v>
      </c>
      <c r="L13" s="37">
        <f>'概算表 单位;元）'!L10</f>
        <v>0.234024271602656</v>
      </c>
      <c r="M13" s="38"/>
      <c r="N13" s="30"/>
    </row>
    <row r="14" ht="24.95" customHeight="1" spans="1:17">
      <c r="A14" s="31" t="s">
        <v>97</v>
      </c>
      <c r="B14" s="32" t="s">
        <v>98</v>
      </c>
      <c r="C14" s="25">
        <f>C15</f>
        <v>706.5657</v>
      </c>
      <c r="D14" s="25">
        <f>D15</f>
        <v>9.9167</v>
      </c>
      <c r="E14" s="25">
        <f t="shared" ref="E14:L14" si="2">E15</f>
        <v>5.8336</v>
      </c>
      <c r="F14" s="25"/>
      <c r="G14" s="25"/>
      <c r="H14" s="25">
        <f t="shared" si="0"/>
        <v>722.316</v>
      </c>
      <c r="I14" s="23" t="str">
        <f t="shared" si="2"/>
        <v>m</v>
      </c>
      <c r="J14" s="23">
        <f t="shared" si="2"/>
        <v>12259</v>
      </c>
      <c r="K14" s="39">
        <f t="shared" si="2"/>
        <v>589.212823231911</v>
      </c>
      <c r="L14" s="23">
        <f t="shared" si="2"/>
        <v>0.346811100137592</v>
      </c>
      <c r="M14" s="29"/>
      <c r="N14" s="30"/>
    </row>
    <row r="15" ht="24.95" customHeight="1" spans="1:17">
      <c r="A15" s="10">
        <v>3.1</v>
      </c>
      <c r="B15" s="33" t="str">
        <f>'概算表 单位;元）'!B11</f>
        <v>金坪里溪排口截流减溢改造工程</v>
      </c>
      <c r="C15" s="34">
        <f>'概算表 单位;元）'!C11/10000</f>
        <v>706.5657</v>
      </c>
      <c r="D15" s="34">
        <f>'概算表 单位;元）'!D11/10000</f>
        <v>9.9167</v>
      </c>
      <c r="E15" s="34">
        <f>'概算表 单位;元）'!E11/10000</f>
        <v>5.8336</v>
      </c>
      <c r="F15" s="34"/>
      <c r="G15" s="34"/>
      <c r="H15" s="34">
        <f t="shared" si="0"/>
        <v>722.316</v>
      </c>
      <c r="I15" s="10" t="s">
        <v>18</v>
      </c>
      <c r="J15" s="35">
        <f>'概算表 单位;元）'!J11</f>
        <v>12259</v>
      </c>
      <c r="K15" s="36">
        <f>'概算表 单位;元）'!K11</f>
        <v>589.212823231911</v>
      </c>
      <c r="L15" s="37">
        <f>'概算表 单位;元）'!L11</f>
        <v>0.346811100137592</v>
      </c>
      <c r="M15" s="38"/>
      <c r="N15" s="30"/>
    </row>
    <row r="16" ht="24.95" customHeight="1" spans="1:17">
      <c r="A16" s="23" t="s">
        <v>27</v>
      </c>
      <c r="B16" s="24" t="s">
        <v>28</v>
      </c>
      <c r="C16" s="25"/>
      <c r="D16" s="25"/>
      <c r="E16" s="25"/>
      <c r="F16" s="25"/>
      <c r="G16" s="25">
        <f>H16</f>
        <v>321.453056825</v>
      </c>
      <c r="H16" s="25">
        <f>SUM(H17:H32)</f>
        <v>321.453056825</v>
      </c>
      <c r="I16" s="23" t="s">
        <v>18</v>
      </c>
      <c r="J16" s="26">
        <f>'概算表 单位;元）'!J12</f>
        <v>20219</v>
      </c>
      <c r="K16" s="27">
        <f>'概算表 单位;元）'!K12</f>
        <v>158.985635701568</v>
      </c>
      <c r="L16" s="28">
        <f>'概算表 单位;元）'!L12</f>
        <v>0.15434171232545</v>
      </c>
      <c r="M16" s="29" t="s">
        <v>19</v>
      </c>
      <c r="N16" s="30"/>
      <c r="O16" s="40" t="s">
        <v>29</v>
      </c>
    </row>
    <row r="17" ht="24.95" customHeight="1" spans="1:19">
      <c r="A17" s="10" t="s">
        <v>30</v>
      </c>
      <c r="B17" s="33" t="s">
        <v>31</v>
      </c>
      <c r="C17" s="41"/>
      <c r="D17" s="42"/>
      <c r="E17" s="42"/>
      <c r="F17" s="43"/>
      <c r="G17" s="34">
        <f>'概算表 单位;元）'!G13/10000</f>
        <v>33.2565</v>
      </c>
      <c r="H17" s="34">
        <f>'概算表 单位;元）'!H13/10000</f>
        <v>33.2565</v>
      </c>
      <c r="I17" s="10" t="s">
        <v>19</v>
      </c>
      <c r="J17" s="35"/>
      <c r="K17" s="36"/>
      <c r="L17" s="44"/>
      <c r="M17" s="38" t="s">
        <v>19</v>
      </c>
      <c r="N17" s="30"/>
      <c r="O17" s="45"/>
      <c r="Q17" s="34">
        <v>33.2565</v>
      </c>
      <c r="S17">
        <v>6</v>
      </c>
    </row>
    <row r="18" ht="24.95" customHeight="1" spans="1:19">
      <c r="A18" s="10" t="s">
        <v>32</v>
      </c>
      <c r="B18" s="33" t="s">
        <v>33</v>
      </c>
      <c r="C18" s="41" t="s">
        <v>34</v>
      </c>
      <c r="D18" s="42"/>
      <c r="E18" s="42"/>
      <c r="F18" s="43"/>
      <c r="G18" s="34">
        <f>'概算表 单位;元）'!G14/10000</f>
        <v>29.1050945</v>
      </c>
      <c r="H18" s="34">
        <f>'概算表 单位;元）'!H14/10000</f>
        <v>29.1050945</v>
      </c>
      <c r="I18" s="10" t="s">
        <v>19</v>
      </c>
      <c r="J18" s="35"/>
      <c r="K18" s="36"/>
      <c r="L18" s="44">
        <f>H18/H41</f>
        <v>0.0139744514079068</v>
      </c>
      <c r="M18" s="44"/>
      <c r="N18" s="46"/>
      <c r="O18" s="45"/>
      <c r="Q18" s="34">
        <v>29.1050945</v>
      </c>
      <c r="S18">
        <v>1</v>
      </c>
    </row>
    <row r="19" ht="24.95" customHeight="1" spans="1:19">
      <c r="A19" s="10" t="s">
        <v>35</v>
      </c>
      <c r="B19" s="33" t="s">
        <v>36</v>
      </c>
      <c r="C19" s="41" t="s">
        <v>37</v>
      </c>
      <c r="D19" s="42"/>
      <c r="E19" s="42"/>
      <c r="F19" s="43"/>
      <c r="G19" s="34">
        <f>'概算表 单位;元）'!G15/10000</f>
        <v>3.76560504</v>
      </c>
      <c r="H19" s="34">
        <f>'概算表 单位;元）'!H15/10000</f>
        <v>3.76560504</v>
      </c>
      <c r="I19" s="10"/>
      <c r="J19" s="35"/>
      <c r="K19" s="36"/>
      <c r="L19" s="44">
        <f>H19/H41</f>
        <v>0.00180800872001459</v>
      </c>
      <c r="M19" s="44"/>
      <c r="N19" s="46"/>
      <c r="O19" s="47" t="s">
        <v>38</v>
      </c>
      <c r="Q19" s="34">
        <v>3.76560504</v>
      </c>
      <c r="S19">
        <v>7</v>
      </c>
    </row>
    <row r="20" ht="24.95" customHeight="1" spans="1:19">
      <c r="A20" s="10" t="s">
        <v>39</v>
      </c>
      <c r="B20" s="33" t="s">
        <v>40</v>
      </c>
      <c r="C20" s="48" t="s">
        <v>41</v>
      </c>
      <c r="D20" s="49"/>
      <c r="E20" s="49"/>
      <c r="F20" s="50"/>
      <c r="G20" s="34">
        <f>'概算表 单位;元）'!G16/10000</f>
        <v>4.854</v>
      </c>
      <c r="H20" s="34">
        <f>'概算表 单位;元）'!H16/10000</f>
        <v>4.854</v>
      </c>
      <c r="I20" s="10"/>
      <c r="J20" s="35"/>
      <c r="K20" s="36"/>
      <c r="L20" s="44">
        <f>H20/H41</f>
        <v>0.00233058810834575</v>
      </c>
      <c r="M20" s="44"/>
      <c r="N20" s="46"/>
      <c r="O20" s="45"/>
      <c r="Q20" s="34">
        <v>4.854</v>
      </c>
      <c r="S20">
        <v>5</v>
      </c>
    </row>
    <row r="21" ht="24.95" customHeight="1" spans="1:19">
      <c r="A21" s="10" t="s">
        <v>42</v>
      </c>
      <c r="B21" s="33" t="s">
        <v>43</v>
      </c>
      <c r="C21" s="48" t="s">
        <v>41</v>
      </c>
      <c r="D21" s="49"/>
      <c r="E21" s="49"/>
      <c r="F21" s="50"/>
      <c r="G21" s="34">
        <f>'概算表 单位;元）'!G17/10000</f>
        <v>39.55</v>
      </c>
      <c r="H21" s="34">
        <f>'概算表 单位;元）'!H17/10000</f>
        <v>39.55</v>
      </c>
      <c r="I21" s="10" t="s">
        <v>19</v>
      </c>
      <c r="J21" s="35"/>
      <c r="K21" s="36"/>
      <c r="L21" s="44">
        <f>H21/H41</f>
        <v>0.018989443692846</v>
      </c>
      <c r="M21" s="44"/>
      <c r="N21" s="46"/>
      <c r="O21" s="45"/>
      <c r="Q21" s="34">
        <v>39.55</v>
      </c>
      <c r="S21">
        <v>5</v>
      </c>
    </row>
    <row r="22" ht="24.95" customHeight="1" spans="1:19">
      <c r="A22" s="10" t="s">
        <v>44</v>
      </c>
      <c r="B22" s="33" t="s">
        <v>45</v>
      </c>
      <c r="C22" s="51" t="s">
        <v>46</v>
      </c>
      <c r="D22" s="52"/>
      <c r="E22" s="52"/>
      <c r="F22" s="53"/>
      <c r="G22" s="34">
        <f>'概算表 单位;元）'!G18/10000</f>
        <v>10.383279925</v>
      </c>
      <c r="H22" s="34">
        <f>'概算表 单位;元）'!H18/10000</f>
        <v>10.383279925</v>
      </c>
      <c r="I22" s="10"/>
      <c r="J22" s="35"/>
      <c r="K22" s="36"/>
      <c r="L22" s="44">
        <f>H22/H41</f>
        <v>0.00498540352674705</v>
      </c>
      <c r="M22" s="44"/>
      <c r="N22" s="46"/>
      <c r="O22" s="45"/>
      <c r="Q22" s="34">
        <v>10.383279925</v>
      </c>
      <c r="S22">
        <v>8</v>
      </c>
    </row>
    <row r="23" ht="24.95" customHeight="1" spans="1:19">
      <c r="A23" s="10" t="s">
        <v>47</v>
      </c>
      <c r="B23" s="33" t="s">
        <v>48</v>
      </c>
      <c r="C23" s="48" t="s">
        <v>41</v>
      </c>
      <c r="D23" s="49"/>
      <c r="E23" s="49"/>
      <c r="F23" s="50"/>
      <c r="G23" s="34">
        <f>'概算表 单位;元）'!G19/10000</f>
        <v>52.185</v>
      </c>
      <c r="H23" s="34">
        <f>'概算表 单位;元）'!H19/10000</f>
        <v>52.185</v>
      </c>
      <c r="I23" s="10" t="s">
        <v>19</v>
      </c>
      <c r="J23" s="35"/>
      <c r="K23" s="36"/>
      <c r="L23" s="44">
        <f>H23/H41</f>
        <v>0.0250559827841004</v>
      </c>
      <c r="M23" s="44"/>
      <c r="N23" s="46"/>
      <c r="O23" s="45"/>
      <c r="Q23" s="34">
        <v>52.185</v>
      </c>
      <c r="S23">
        <v>9</v>
      </c>
    </row>
    <row r="24" ht="24.95" customHeight="1" spans="1:19">
      <c r="A24" s="10" t="s">
        <v>49</v>
      </c>
      <c r="B24" s="33" t="s">
        <v>50</v>
      </c>
      <c r="C24" s="48" t="s">
        <v>41</v>
      </c>
      <c r="D24" s="49"/>
      <c r="E24" s="49"/>
      <c r="F24" s="50"/>
      <c r="G24" s="34">
        <f>'概算表 单位;元）'!G20/10000</f>
        <v>44.3106</v>
      </c>
      <c r="H24" s="34">
        <f>'概算表 单位;元）'!H20/10000</f>
        <v>44.3106</v>
      </c>
      <c r="I24" s="10" t="s">
        <v>19</v>
      </c>
      <c r="J24" s="35"/>
      <c r="K24" s="36"/>
      <c r="L24" s="44">
        <f>H24/H41</f>
        <v>0.0212751869455429</v>
      </c>
      <c r="M24" s="44">
        <v>0.01</v>
      </c>
      <c r="N24" s="46"/>
      <c r="O24" s="45"/>
      <c r="Q24" s="34">
        <v>44.3106</v>
      </c>
      <c r="S24">
        <v>1</v>
      </c>
    </row>
    <row r="25" ht="24.95" customHeight="1" spans="1:19">
      <c r="A25" s="10" t="s">
        <v>51</v>
      </c>
      <c r="B25" s="33" t="s">
        <v>52</v>
      </c>
      <c r="C25" s="41" t="s">
        <v>53</v>
      </c>
      <c r="D25" s="54"/>
      <c r="E25" s="54"/>
      <c r="F25" s="55"/>
      <c r="G25" s="34">
        <f>'概算表 单位;元）'!G21/10000</f>
        <v>16.070063</v>
      </c>
      <c r="H25" s="34">
        <f>'概算表 单位;元）'!H21/10000</f>
        <v>16.070063</v>
      </c>
      <c r="I25" s="10" t="s">
        <v>19</v>
      </c>
      <c r="J25" s="35"/>
      <c r="K25" s="36"/>
      <c r="L25" s="44">
        <f>H25/H41</f>
        <v>0.00771584213600475</v>
      </c>
      <c r="M25" s="44">
        <v>0.01</v>
      </c>
      <c r="N25" s="46"/>
      <c r="O25" s="45"/>
      <c r="Q25" s="34">
        <v>16.070063</v>
      </c>
      <c r="S25">
        <v>7</v>
      </c>
    </row>
    <row r="26" ht="24.95" customHeight="1" spans="1:19">
      <c r="A26" s="10" t="s">
        <v>54</v>
      </c>
      <c r="B26" s="33" t="s">
        <v>55</v>
      </c>
      <c r="C26" s="41" t="s">
        <v>56</v>
      </c>
      <c r="D26" s="54"/>
      <c r="E26" s="54"/>
      <c r="F26" s="55"/>
      <c r="G26" s="34">
        <f>'概算表 单位;元）'!G22/10000</f>
        <v>6.4280252</v>
      </c>
      <c r="H26" s="34">
        <f>'概算表 单位;元）'!H22/10000</f>
        <v>6.4280252</v>
      </c>
      <c r="I26" s="10" t="s">
        <v>19</v>
      </c>
      <c r="J26" s="35"/>
      <c r="K26" s="36"/>
      <c r="L26" s="44">
        <f>H26/H41</f>
        <v>0.0030863368544019</v>
      </c>
      <c r="M26" s="44">
        <v>0.004</v>
      </c>
      <c r="N26" s="46"/>
      <c r="O26" s="45"/>
      <c r="Q26" s="34">
        <v>6.4280252</v>
      </c>
      <c r="S26">
        <v>3</v>
      </c>
    </row>
    <row r="27" ht="24.95" customHeight="1" spans="1:19">
      <c r="A27" s="10" t="s">
        <v>57</v>
      </c>
      <c r="B27" s="33" t="s">
        <v>58</v>
      </c>
      <c r="C27" s="41" t="s">
        <v>59</v>
      </c>
      <c r="D27" s="54"/>
      <c r="E27" s="54"/>
      <c r="F27" s="55"/>
      <c r="G27" s="34">
        <f>'概算表 单位;元）'!G23/10000</f>
        <v>1.92840756</v>
      </c>
      <c r="H27" s="34">
        <f>'概算表 单位;元）'!H23/10000</f>
        <v>1.92840756</v>
      </c>
      <c r="I27" s="10"/>
      <c r="J27" s="35"/>
      <c r="K27" s="36"/>
      <c r="L27" s="44"/>
      <c r="M27" s="44">
        <v>0.0012</v>
      </c>
      <c r="N27" s="46"/>
      <c r="O27" s="45"/>
      <c r="Q27" s="34">
        <v>1.92840756</v>
      </c>
      <c r="S27">
        <v>3</v>
      </c>
    </row>
    <row r="28" ht="24.95" customHeight="1" spans="1:19">
      <c r="A28" s="10" t="s">
        <v>60</v>
      </c>
      <c r="B28" s="33" t="s">
        <v>61</v>
      </c>
      <c r="C28" s="41"/>
      <c r="D28" s="54"/>
      <c r="E28" s="54"/>
      <c r="F28" s="55"/>
      <c r="G28" s="34">
        <f>'概算表 单位;元）'!G24/10000</f>
        <v>0.113406</v>
      </c>
      <c r="H28" s="34">
        <f>'概算表 单位;元）'!H24/10000</f>
        <v>0.113406</v>
      </c>
      <c r="I28" s="10"/>
      <c r="J28" s="35"/>
      <c r="K28" s="36"/>
      <c r="L28" s="44"/>
      <c r="M28" s="44">
        <v>0.01</v>
      </c>
      <c r="N28" s="46"/>
      <c r="Q28" s="34">
        <v>0.113406</v>
      </c>
      <c r="S28">
        <v>1</v>
      </c>
    </row>
    <row r="29" ht="24.95" customHeight="1" spans="1:19">
      <c r="A29" s="10" t="s">
        <v>62</v>
      </c>
      <c r="B29" s="33" t="s">
        <v>63</v>
      </c>
      <c r="C29" s="41"/>
      <c r="D29" s="54"/>
      <c r="E29" s="54"/>
      <c r="F29" s="55"/>
      <c r="G29" s="34">
        <f>'概算表 单位;元）'!G25/10000</f>
        <v>8.0350315</v>
      </c>
      <c r="H29" s="34">
        <f>'概算表 单位;元）'!H25/10000</f>
        <v>8.0350315</v>
      </c>
      <c r="I29" s="10"/>
      <c r="J29" s="35"/>
      <c r="K29" s="36"/>
      <c r="L29" s="44"/>
      <c r="M29" s="44"/>
      <c r="N29" s="46"/>
      <c r="Q29" s="34">
        <v>8.0350315</v>
      </c>
      <c r="S29">
        <v>4</v>
      </c>
    </row>
    <row r="30" ht="24.95" customHeight="1" spans="1:19">
      <c r="A30" s="10" t="s">
        <v>64</v>
      </c>
      <c r="B30" s="33" t="s">
        <v>65</v>
      </c>
      <c r="C30" s="41"/>
      <c r="D30" s="54"/>
      <c r="E30" s="54"/>
      <c r="F30" s="55"/>
      <c r="G30" s="34">
        <f>'概算表 单位;元）'!G26/10000</f>
        <v>20.219</v>
      </c>
      <c r="H30" s="34">
        <f>'概算表 单位;元）'!H26/10000</f>
        <v>20.219</v>
      </c>
      <c r="I30" s="10"/>
      <c r="J30" s="35"/>
      <c r="K30" s="36"/>
      <c r="L30" s="44"/>
      <c r="M30" s="44"/>
      <c r="N30" s="46"/>
      <c r="Q30" s="34">
        <v>20.219</v>
      </c>
      <c r="S30">
        <v>2</v>
      </c>
    </row>
    <row r="31" ht="24.95" customHeight="1" spans="1:19">
      <c r="A31" s="10" t="s">
        <v>66</v>
      </c>
      <c r="B31" s="33" t="s">
        <v>67</v>
      </c>
      <c r="C31" s="41"/>
      <c r="D31" s="54"/>
      <c r="E31" s="54"/>
      <c r="F31" s="55"/>
      <c r="G31" s="34">
        <f>'概算表 单位;元）'!G27/10000</f>
        <v>35</v>
      </c>
      <c r="H31" s="34">
        <f>'概算表 单位;元）'!H27/10000</f>
        <v>35</v>
      </c>
      <c r="I31" s="10"/>
      <c r="J31" s="35"/>
      <c r="K31" s="36"/>
      <c r="L31" s="44"/>
      <c r="M31" s="44"/>
      <c r="N31" s="46"/>
      <c r="Q31" s="34">
        <v>35</v>
      </c>
      <c r="S31">
        <v>5</v>
      </c>
    </row>
    <row r="32" ht="24.95" customHeight="1" spans="1:19">
      <c r="A32" s="10" t="s">
        <v>68</v>
      </c>
      <c r="B32" s="33" t="s">
        <v>69</v>
      </c>
      <c r="C32" s="41" t="s">
        <v>70</v>
      </c>
      <c r="D32" s="54"/>
      <c r="E32" s="54"/>
      <c r="F32" s="55"/>
      <c r="G32" s="34">
        <f>'概算表 单位;元）'!G28/10000</f>
        <v>16.2490441</v>
      </c>
      <c r="H32" s="34">
        <f>'概算表 单位;元）'!H28/10000</f>
        <v>16.2490441</v>
      </c>
      <c r="I32" s="10"/>
      <c r="J32" s="35"/>
      <c r="K32" s="36"/>
      <c r="L32" s="44"/>
      <c r="M32" s="44" t="s">
        <v>99</v>
      </c>
      <c r="N32" s="46"/>
      <c r="O32" s="56"/>
      <c r="Q32" s="34">
        <v>16.2490441</v>
      </c>
      <c r="S32">
        <v>0</v>
      </c>
    </row>
    <row r="33" ht="24.95" customHeight="1" spans="1:19">
      <c r="A33" s="23" t="s">
        <v>71</v>
      </c>
      <c r="B33" s="24" t="s">
        <v>72</v>
      </c>
      <c r="C33" s="25"/>
      <c r="D33" s="25"/>
      <c r="E33" s="25"/>
      <c r="F33" s="25"/>
      <c r="G33" s="25">
        <f>G34</f>
        <v>154.276748546</v>
      </c>
      <c r="H33" s="25">
        <f>H34</f>
        <v>154.276748546</v>
      </c>
      <c r="I33" s="23" t="s">
        <v>18</v>
      </c>
      <c r="J33" s="26">
        <f>J5</f>
        <v>20219</v>
      </c>
      <c r="K33" s="27">
        <f>'概算表 单位;元）'!K29</f>
        <v>76.3028579781394</v>
      </c>
      <c r="L33" s="57">
        <f>H33/H41</f>
        <v>0.0740740740740741</v>
      </c>
      <c r="M33" s="57"/>
      <c r="N33" s="30"/>
      <c r="Q33">
        <f>SUM(Q17:Q32)</f>
        <v>321.453056825</v>
      </c>
      <c r="S33">
        <f>SUM(S17:S32)</f>
        <v>67</v>
      </c>
    </row>
    <row r="34" ht="24.95" customHeight="1" spans="1:19">
      <c r="A34" s="10" t="s">
        <v>73</v>
      </c>
      <c r="B34" s="33" t="s">
        <v>74</v>
      </c>
      <c r="C34" s="34"/>
      <c r="D34" s="34"/>
      <c r="E34" s="34"/>
      <c r="F34" s="34"/>
      <c r="G34" s="34">
        <f>H34</f>
        <v>154.276748546</v>
      </c>
      <c r="H34" s="34">
        <f>(H5+H16)*M34</f>
        <v>154.276748546</v>
      </c>
      <c r="I34" s="10" t="s">
        <v>19</v>
      </c>
      <c r="J34" s="35"/>
      <c r="K34" s="36"/>
      <c r="L34" s="44">
        <f>H34/H41</f>
        <v>0.0740740740740741</v>
      </c>
      <c r="M34" s="44">
        <v>0.08</v>
      </c>
      <c r="N34" s="30"/>
    </row>
    <row r="35" ht="24.95" customHeight="1" spans="1:19">
      <c r="A35" s="10" t="s">
        <v>75</v>
      </c>
      <c r="B35" s="33" t="s">
        <v>76</v>
      </c>
      <c r="C35" s="34"/>
      <c r="D35" s="34"/>
      <c r="E35" s="34"/>
      <c r="F35" s="34"/>
      <c r="G35" s="34"/>
      <c r="H35" s="34"/>
      <c r="I35" s="10" t="s">
        <v>19</v>
      </c>
      <c r="J35" s="35"/>
      <c r="K35" s="36"/>
      <c r="L35" s="44"/>
      <c r="M35" s="38" t="s">
        <v>19</v>
      </c>
      <c r="N35" s="30"/>
    </row>
    <row r="36" ht="24.95" customHeight="1" spans="1:19">
      <c r="A36" s="23" t="s">
        <v>77</v>
      </c>
      <c r="B36" s="24" t="s">
        <v>78</v>
      </c>
      <c r="C36" s="25"/>
      <c r="D36" s="25"/>
      <c r="E36" s="25"/>
      <c r="F36" s="25"/>
      <c r="G36" s="25"/>
      <c r="H36" s="25">
        <f>H5+H16+H33</f>
        <v>2082.736105371</v>
      </c>
      <c r="I36" s="23" t="s">
        <v>18</v>
      </c>
      <c r="J36" s="26">
        <f>J5</f>
        <v>20219</v>
      </c>
      <c r="K36" s="27">
        <f>'概算表 单位;元）'!K32</f>
        <v>1030.08858270488</v>
      </c>
      <c r="L36" s="57">
        <f>H36/H41</f>
        <v>1</v>
      </c>
      <c r="M36" s="29" t="s">
        <v>19</v>
      </c>
      <c r="N36" s="30"/>
    </row>
    <row r="37" ht="24.95" customHeight="1" spans="1:19">
      <c r="A37" s="23" t="s">
        <v>79</v>
      </c>
      <c r="B37" s="24" t="s">
        <v>80</v>
      </c>
      <c r="C37" s="25"/>
      <c r="D37" s="25"/>
      <c r="E37" s="25"/>
      <c r="F37" s="25"/>
      <c r="G37" s="25"/>
      <c r="H37" s="25"/>
      <c r="I37" s="23" t="s">
        <v>19</v>
      </c>
      <c r="J37" s="26"/>
      <c r="K37" s="27"/>
      <c r="L37" s="57"/>
      <c r="M37" s="29" t="s">
        <v>19</v>
      </c>
      <c r="N37" s="30"/>
    </row>
    <row r="38" ht="24.95" customHeight="1" spans="1:19">
      <c r="A38" s="23" t="s">
        <v>81</v>
      </c>
      <c r="B38" s="24" t="s">
        <v>82</v>
      </c>
      <c r="C38" s="25"/>
      <c r="D38" s="25"/>
      <c r="E38" s="25"/>
      <c r="F38" s="25"/>
      <c r="G38" s="25"/>
      <c r="H38" s="25"/>
      <c r="I38" s="23" t="s">
        <v>19</v>
      </c>
      <c r="J38" s="26"/>
      <c r="K38" s="27"/>
      <c r="L38" s="57"/>
      <c r="M38" s="29" t="s">
        <v>19</v>
      </c>
      <c r="N38" s="30"/>
    </row>
    <row r="39" ht="24.95" customHeight="1" spans="1:19">
      <c r="A39" s="23" t="s">
        <v>83</v>
      </c>
      <c r="B39" s="24" t="s">
        <v>84</v>
      </c>
      <c r="C39" s="25"/>
      <c r="D39" s="25"/>
      <c r="E39" s="25"/>
      <c r="F39" s="25"/>
      <c r="G39" s="25"/>
      <c r="H39" s="25">
        <f>SUM(H36:H38)</f>
        <v>2082.736105371</v>
      </c>
      <c r="I39" s="23" t="s">
        <v>18</v>
      </c>
      <c r="J39" s="26">
        <f>J5</f>
        <v>20219</v>
      </c>
      <c r="K39" s="27">
        <f>'概算表 单位;元）'!K35</f>
        <v>1030.08858270488</v>
      </c>
      <c r="L39" s="57">
        <f>H39/H41</f>
        <v>1</v>
      </c>
      <c r="M39" s="29" t="s">
        <v>19</v>
      </c>
      <c r="N39" s="30"/>
    </row>
    <row r="40" ht="24.95" customHeight="1" spans="1:19">
      <c r="A40" s="23" t="s">
        <v>85</v>
      </c>
      <c r="B40" s="24" t="s">
        <v>86</v>
      </c>
      <c r="C40" s="25"/>
      <c r="D40" s="25"/>
      <c r="E40" s="25"/>
      <c r="F40" s="25"/>
      <c r="G40" s="25"/>
      <c r="H40" s="25"/>
      <c r="I40" s="23" t="s">
        <v>19</v>
      </c>
      <c r="J40" s="26"/>
      <c r="K40" s="27"/>
      <c r="L40" s="57"/>
      <c r="M40" s="29" t="s">
        <v>19</v>
      </c>
      <c r="N40" s="30"/>
    </row>
    <row r="41" ht="24.95" customHeight="1" spans="1:19">
      <c r="A41" s="23" t="s">
        <v>87</v>
      </c>
      <c r="B41" s="24" t="s">
        <v>88</v>
      </c>
      <c r="C41" s="25"/>
      <c r="D41" s="25"/>
      <c r="E41" s="25"/>
      <c r="F41" s="25"/>
      <c r="G41" s="25"/>
      <c r="H41" s="25">
        <f>SUM(H39:H40)</f>
        <v>2082.736105371</v>
      </c>
      <c r="I41" s="23" t="s">
        <v>18</v>
      </c>
      <c r="J41" s="26">
        <f>J5</f>
        <v>20219</v>
      </c>
      <c r="K41" s="27">
        <f>'概算表 单位;元）'!K37</f>
        <v>1030.08858270488</v>
      </c>
      <c r="L41" s="57">
        <f>H41/H41</f>
        <v>1</v>
      </c>
      <c r="M41" s="29"/>
      <c r="N41" s="30"/>
    </row>
  </sheetData>
  <mergeCells count="20">
    <mergeCell ref="A1:M1"/>
    <mergeCell ref="A2:M2"/>
    <mergeCell ref="C3:H3"/>
    <mergeCell ref="I3:K3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32:F32"/>
    <mergeCell ref="A3:A4"/>
    <mergeCell ref="B3:B4"/>
    <mergeCell ref="L3:L4"/>
    <mergeCell ref="M3:M4"/>
  </mergeCells>
  <pageMargins left="0.78740157480315" right="0" top="0.78740157480315" bottom="0" header="0" footer="0"/>
  <pageSetup paperSize="9" scale="68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概算表 单位;元）</vt:lpstr>
      <vt:lpstr>概算表   单位;万元）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刹华</cp:lastModifiedBy>
  <dcterms:created xsi:type="dcterms:W3CDTF">2023-04-10T08:16:00Z</dcterms:created>
  <dcterms:modified xsi:type="dcterms:W3CDTF">2025-12-31T02:18:32Z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8292D46DAF5B4F0C93F2178A51955C09_12</vt:lpwstr>
  </property>
</Properties>
</file>