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/>
  </bookViews>
  <sheets>
    <sheet name="二期工程投资概算表" sheetId="14" r:id="rId1"/>
  </sheets>
  <externalReferences>
    <externalReference r:id="rId2"/>
    <externalReference r:id="rId3"/>
  </externalReferences>
  <definedNames>
    <definedName name="_xlnm._FilterDatabase" localSheetId="0" hidden="1">二期工程投资概算表!$A$8:$L$129</definedName>
    <definedName name="_xlnm.Print_Titles" localSheetId="0">二期工程投资概算表!$1:$4</definedName>
    <definedName name="_xlnm.Print_Area" localSheetId="0">二期工程投资概算表!$A$1:$L$129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<sst xmlns="http://schemas.openxmlformats.org/spreadsheetml/2006/main" count="449" uniqueCount="114">
  <si>
    <t>工程总概算表</t>
  </si>
  <si>
    <t>闽清县第二中学改扩建项目（二期）项目名称：</t>
  </si>
  <si>
    <t>序号</t>
  </si>
  <si>
    <t>工程或费用名称</t>
  </si>
  <si>
    <t>概算金额(万元)</t>
  </si>
  <si>
    <t>技术经济指标</t>
  </si>
  <si>
    <t>备注</t>
  </si>
  <si>
    <t>建筑工程</t>
  </si>
  <si>
    <t>安装工程</t>
  </si>
  <si>
    <t>设备及工器具购置费</t>
  </si>
  <si>
    <t>其他费用</t>
  </si>
  <si>
    <t>合计</t>
  </si>
  <si>
    <t>计量指标</t>
  </si>
  <si>
    <t>单位</t>
  </si>
  <si>
    <t>数量</t>
  </si>
  <si>
    <t>单位价值(元)</t>
  </si>
  <si>
    <t>一</t>
  </si>
  <si>
    <t>工程费用</t>
  </si>
  <si>
    <t>总建筑面积</t>
  </si>
  <si>
    <t>m²</t>
  </si>
  <si>
    <t/>
  </si>
  <si>
    <t>(一)</t>
  </si>
  <si>
    <t>建筑安装工程费</t>
  </si>
  <si>
    <t>概算指标</t>
  </si>
  <si>
    <t>可研指标</t>
  </si>
  <si>
    <t>概算-可研</t>
  </si>
  <si>
    <t>基坑支护工程</t>
  </si>
  <si>
    <t>支护长度</t>
  </si>
  <si>
    <t>m</t>
  </si>
  <si>
    <t>土建</t>
  </si>
  <si>
    <t>安装</t>
  </si>
  <si>
    <t>总</t>
  </si>
  <si>
    <t>地下室工程（含人防）</t>
  </si>
  <si>
    <t>建筑面积</t>
  </si>
  <si>
    <t>人防工程</t>
  </si>
  <si>
    <t>一般土建</t>
  </si>
  <si>
    <t>装饰工程</t>
  </si>
  <si>
    <t>给排水工程</t>
  </si>
  <si>
    <t>电气工程</t>
  </si>
  <si>
    <t>弱电工程</t>
  </si>
  <si>
    <t>通风工程</t>
  </si>
  <si>
    <t>含人防通风</t>
  </si>
  <si>
    <t>消防工程</t>
  </si>
  <si>
    <t>抗震支架工程</t>
  </si>
  <si>
    <t>2#3#教学楼</t>
  </si>
  <si>
    <t>实验楼</t>
  </si>
  <si>
    <t>辅助教学楼</t>
  </si>
  <si>
    <t>4#学生宿舍楼</t>
  </si>
  <si>
    <t>3#学生宿舍楼</t>
  </si>
  <si>
    <t>1#教师宿舍楼</t>
  </si>
  <si>
    <t>图书馆</t>
  </si>
  <si>
    <t>室外总体工程</t>
  </si>
  <si>
    <t>含园林景观、室外管网、区内挡墙等</t>
  </si>
  <si>
    <t>景观工程</t>
  </si>
  <si>
    <t>绿化工程</t>
  </si>
  <si>
    <t>土石方工程</t>
  </si>
  <si>
    <t>区内挡土墙工程</t>
  </si>
  <si>
    <t>室外管网工程</t>
  </si>
  <si>
    <t>电梯工程</t>
  </si>
  <si>
    <t>项</t>
  </si>
  <si>
    <t>部</t>
  </si>
  <si>
    <t>5站</t>
  </si>
  <si>
    <t>4站</t>
  </si>
  <si>
    <t>6站</t>
  </si>
  <si>
    <t>变配电工程</t>
  </si>
  <si>
    <t>标志标识工程</t>
  </si>
  <si>
    <t>充电桩</t>
  </si>
  <si>
    <t>校内现状拆改工程</t>
  </si>
  <si>
    <t>教学楼（已建）外立面改造</t>
  </si>
  <si>
    <t>展开面积</t>
  </si>
  <si>
    <t>已建建筑拆除</t>
  </si>
  <si>
    <t>室外工程拆除</t>
  </si>
  <si>
    <t>（二)</t>
  </si>
  <si>
    <t>教学生活设施设备购置</t>
  </si>
  <si>
    <t>具体费用计算详表3</t>
  </si>
  <si>
    <t>二</t>
  </si>
  <si>
    <t>工程建设其他费用</t>
  </si>
  <si>
    <t>具体费用计算详表2</t>
  </si>
  <si>
    <t>（一）</t>
  </si>
  <si>
    <t>建设管理费</t>
  </si>
  <si>
    <t>代建管理费</t>
  </si>
  <si>
    <t>施工图审查费</t>
  </si>
  <si>
    <t>招标代理服务费</t>
  </si>
  <si>
    <t>工程造价咨询费</t>
  </si>
  <si>
    <t>建设工程监理费</t>
  </si>
  <si>
    <t>（二）</t>
  </si>
  <si>
    <t>项目前期工作咨询费</t>
  </si>
  <si>
    <t>（三）</t>
  </si>
  <si>
    <t>勘察设计费</t>
  </si>
  <si>
    <t>勘察费</t>
  </si>
  <si>
    <t>设计费</t>
  </si>
  <si>
    <t>（四）</t>
  </si>
  <si>
    <t>其它费用</t>
  </si>
  <si>
    <t>环境影响咨询服务费</t>
  </si>
  <si>
    <t>工程保险费</t>
  </si>
  <si>
    <t>劳动安全卫生评审费</t>
  </si>
  <si>
    <t>场地准备费及临时设施费</t>
  </si>
  <si>
    <t>城市基础设施配套费</t>
  </si>
  <si>
    <t>工程款支付担保费</t>
  </si>
  <si>
    <t>基础检测费</t>
  </si>
  <si>
    <t>水土保持评估费</t>
  </si>
  <si>
    <t>地质灾害评估费</t>
  </si>
  <si>
    <t>消防检测费(地上工程)</t>
  </si>
  <si>
    <t>地上建筑面积</t>
  </si>
  <si>
    <t>消防检测费(地下室工程)</t>
  </si>
  <si>
    <t>地下室面积</t>
  </si>
  <si>
    <t>防雷装置施工跟踪检测</t>
  </si>
  <si>
    <t>防雷装置技术评价费用</t>
  </si>
  <si>
    <t>白蚁防治费</t>
  </si>
  <si>
    <t>三</t>
  </si>
  <si>
    <t>基本预备费</t>
  </si>
  <si>
    <t>(一+二-土地费) *3%</t>
  </si>
  <si>
    <t>四</t>
  </si>
  <si>
    <t>总投资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</si>
</sst>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  <numFmt numFmtId="177" formatCode="0_ "/>
    <numFmt numFmtId="178" formatCode="0.0"/>
    <numFmt numFmtId="179" formatCode="0.0_ "/>
  </numFmts>
  <fonts count="25">
    <font>
      <sz val="11"/>
      <color indexed="8"/>
      <name val="宋体"/>
      <charset val="134"/>
      <scheme val="minor"/>
    </font>
    <font>
      <b/>
      <sz val="22"/>
      <color indexed="8"/>
      <name val="宋体"/>
      <charset val="134"/>
    </font>
    <font>
      <sz val="11"/>
      <color indexed="8"/>
      <name val="宋体"/>
      <charset val="134"/>
    </font>
    <font>
      <b/>
      <sz val="11"/>
      <color indexed="8"/>
      <name val="宋体"/>
      <charset val="134"/>
    </font>
    <font>
      <sz val="11"/>
      <color theme="1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5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8" applyNumberFormat="0" applyAlignment="0" applyProtection="0">
      <alignment vertical="center"/>
    </xf>
    <xf numFmtId="0" fontId="15" fillId="4" borderId="9" applyNumberFormat="0" applyAlignment="0" applyProtection="0">
      <alignment vertical="center"/>
    </xf>
    <xf numFmtId="0" fontId="16" fillId="4" borderId="8" applyNumberFormat="0" applyAlignment="0" applyProtection="0">
      <alignment vertical="center"/>
    </xf>
    <xf numFmtId="0" fontId="17" fillId="5" borderId="10" applyNumberFormat="0" applyAlignment="0" applyProtection="0">
      <alignment vertical="center"/>
    </xf>
    <xf numFmtId="0" fontId="18" fillId="0" borderId="11" applyNumberFormat="0" applyFill="0" applyAlignment="0" applyProtection="0">
      <alignment vertical="center"/>
    </xf>
    <xf numFmtId="0" fontId="19" fillId="0" borderId="12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51">
    <xf numFmtId="0" fontId="0" fillId="0" borderId="0" xfId="0" applyFont="1">
      <alignment vertical="center"/>
    </xf>
    <xf numFmtId="0" fontId="0" fillId="0" borderId="0" xfId="0" applyFont="1" applyAlignment="1">
      <alignment vertical="center"/>
    </xf>
    <xf numFmtId="0" fontId="0" fillId="0" borderId="0" xfId="0" applyFont="1" applyFill="1">
      <alignment vertical="center"/>
    </xf>
    <xf numFmtId="176" fontId="0" fillId="0" borderId="0" xfId="0" applyNumberFormat="1" applyFont="1">
      <alignment vertical="center"/>
    </xf>
    <xf numFmtId="177" fontId="0" fillId="0" borderId="0" xfId="0" applyNumberFormat="1" applyFont="1">
      <alignment vertical="center"/>
    </xf>
    <xf numFmtId="177" fontId="0" fillId="0" borderId="0" xfId="0" applyNumberFormat="1" applyFont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0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178" fontId="2" fillId="0" borderId="1" xfId="0" applyNumberFormat="1" applyFont="1" applyFill="1" applyBorder="1" applyAlignment="1">
      <alignment horizontal="center" vertical="center" wrapText="1"/>
    </xf>
    <xf numFmtId="177" fontId="1" fillId="0" borderId="0" xfId="0" applyNumberFormat="1" applyFont="1" applyFill="1" applyAlignment="1">
      <alignment horizontal="center" vertical="center" wrapText="1"/>
    </xf>
    <xf numFmtId="0" fontId="0" fillId="0" borderId="0" xfId="0" applyFont="1" applyFill="1" applyAlignment="1">
      <alignment vertical="center"/>
    </xf>
    <xf numFmtId="177" fontId="0" fillId="0" borderId="0" xfId="0" applyNumberFormat="1" applyFont="1" applyFill="1" applyAlignment="1">
      <alignment horizontal="center" vertical="center"/>
    </xf>
    <xf numFmtId="0" fontId="2" fillId="0" borderId="0" xfId="0" applyFont="1" applyFill="1" applyBorder="1" applyAlignment="1">
      <alignment horizontal="left" vertical="center" wrapText="1"/>
    </xf>
    <xf numFmtId="177" fontId="2" fillId="0" borderId="1" xfId="0" applyNumberFormat="1" applyFont="1" applyFill="1" applyBorder="1" applyAlignment="1">
      <alignment horizontal="center" vertical="center" wrapText="1"/>
    </xf>
    <xf numFmtId="0" fontId="0" fillId="0" borderId="0" xfId="0" applyFont="1" applyFill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177" fontId="3" fillId="0" borderId="1" xfId="0" applyNumberFormat="1" applyFont="1" applyFill="1" applyBorder="1" applyAlignment="1">
      <alignment horizontal="center" vertical="center" wrapText="1"/>
    </xf>
    <xf numFmtId="2" fontId="2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left" vertical="center" wrapText="1"/>
    </xf>
    <xf numFmtId="179" fontId="2" fillId="0" borderId="1" xfId="0" applyNumberFormat="1" applyFont="1" applyFill="1" applyBorder="1" applyAlignment="1">
      <alignment horizontal="center" vertical="center" wrapText="1"/>
    </xf>
    <xf numFmtId="177" fontId="0" fillId="0" borderId="0" xfId="0" applyNumberFormat="1" applyFont="1" applyFill="1" applyAlignment="1">
      <alignment vertical="center"/>
    </xf>
    <xf numFmtId="177" fontId="0" fillId="0" borderId="0" xfId="0" applyNumberFormat="1" applyFont="1" applyFill="1">
      <alignment vertical="center"/>
    </xf>
    <xf numFmtId="0" fontId="0" fillId="0" borderId="0" xfId="0" applyFont="1" applyFill="1" applyAlignment="1">
      <alignment horizontal="center" vertical="center"/>
    </xf>
    <xf numFmtId="2" fontId="2" fillId="0" borderId="1" xfId="0" applyNumberFormat="1" applyFont="1" applyFill="1" applyBorder="1" applyAlignment="1">
      <alignment horizontal="center" vertical="center" wrapText="1"/>
    </xf>
    <xf numFmtId="1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2" fontId="3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3" fillId="0" borderId="2" xfId="0" applyNumberFormat="1" applyFont="1" applyFill="1" applyBorder="1" applyAlignment="1">
      <alignment horizontal="center" vertical="center" wrapText="1"/>
    </xf>
    <xf numFmtId="176" fontId="3" fillId="0" borderId="3" xfId="0" applyNumberFormat="1" applyFont="1" applyFill="1" applyBorder="1" applyAlignment="1">
      <alignment horizontal="center" vertical="center" wrapText="1"/>
    </xf>
    <xf numFmtId="176" fontId="2" fillId="0" borderId="2" xfId="0" applyNumberFormat="1" applyFont="1" applyFill="1" applyBorder="1" applyAlignment="1">
      <alignment horizontal="center" vertical="center" wrapText="1"/>
    </xf>
    <xf numFmtId="176" fontId="2" fillId="0" borderId="3" xfId="0" applyNumberFormat="1" applyFont="1" applyFill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  <xf numFmtId="176" fontId="0" fillId="0" borderId="0" xfId="0" applyNumberFormat="1" applyFont="1" applyFill="1" applyAlignment="1">
      <alignment horizontal="center" vertical="center"/>
    </xf>
    <xf numFmtId="0" fontId="0" fillId="0" borderId="1" xfId="0" applyFont="1" applyFill="1" applyBorder="1" applyAlignment="1">
      <alignment vertical="center"/>
    </xf>
    <xf numFmtId="177" fontId="3" fillId="0" borderId="1" xfId="0" applyNumberFormat="1" applyFont="1" applyFill="1" applyBorder="1" applyAlignment="1">
      <alignment horizontal="center" vertical="center" wrapText="1"/>
    </xf>
    <xf numFmtId="177" fontId="2" fillId="0" borderId="2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2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WeChat Files\bigbirdzm\FileStorage\File\2024-12\&#34920;2&#24037;&#31243;&#24314;&#35774;&#20854;&#23427;&#36153;&#29992;&#35745;&#31639;&#34920;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file:///D:\WeChat Files\bigbirdzm\FileStorage\File\2024-12\&#34920;3&#25945;&#23398;&#29983;&#27963;&#35774;&#26045;&#35774;&#22791;&#36141;&#32622;&#36153;&#27719;&#24635;&#34920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二期工程建设其它费用计算表"/>
    </sheetNames>
    <sheetDataSet>
      <sheetData sheetId="0">
        <row r="6">
          <cell r="D6">
            <v>267.199474</v>
          </cell>
        </row>
        <row r="7">
          <cell r="D7">
            <v>11.2531081676122</v>
          </cell>
        </row>
        <row r="8">
          <cell r="D8">
            <v>27.7926538161754</v>
          </cell>
        </row>
        <row r="9">
          <cell r="D9">
            <v>49.6646848</v>
          </cell>
        </row>
        <row r="10">
          <cell r="D10">
            <v>261.7271832456</v>
          </cell>
        </row>
        <row r="11">
          <cell r="D11">
            <v>32.721558972</v>
          </cell>
        </row>
        <row r="13">
          <cell r="D13">
            <v>73.57695512439</v>
          </cell>
        </row>
        <row r="14">
          <cell r="D14">
            <v>365.763306749197</v>
          </cell>
        </row>
        <row r="16">
          <cell r="D16">
            <v>15.052787376</v>
          </cell>
        </row>
        <row r="17">
          <cell r="D17">
            <v>68.1598422</v>
          </cell>
        </row>
        <row r="18">
          <cell r="D18">
            <v>22.7199474</v>
          </cell>
        </row>
        <row r="19">
          <cell r="D19">
            <v>113.599737</v>
          </cell>
        </row>
        <row r="20">
          <cell r="D20">
            <v>12.4195768772348</v>
          </cell>
        </row>
        <row r="21">
          <cell r="D21">
            <v>18.9938760264</v>
          </cell>
        </row>
        <row r="22">
          <cell r="D22">
            <v>0.659263</v>
          </cell>
        </row>
        <row r="23">
          <cell r="D23">
            <v>29.74544088</v>
          </cell>
        </row>
        <row r="24">
          <cell r="D24">
            <v>3</v>
          </cell>
        </row>
        <row r="25">
          <cell r="D25">
            <v>7.920054</v>
          </cell>
        </row>
        <row r="26">
          <cell r="D26">
            <v>1.914687</v>
          </cell>
        </row>
        <row r="27">
          <cell r="D27">
            <v>3.8076192</v>
          </cell>
        </row>
        <row r="28">
          <cell r="D28">
            <v>0.7705896</v>
          </cell>
        </row>
        <row r="29">
          <cell r="D29">
            <v>6.691728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二期教学生活设施设备购置费汇总表"/>
      <sheetName val="Sheet1"/>
    </sheetNames>
    <sheetDataSet>
      <sheetData sheetId="0">
        <row r="49">
          <cell r="G49">
            <v>2932.08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/>
    <pageSetUpPr fitToPage="1"/>
  </sheetPr>
  <dimension ref="A1:V129"/>
  <sheetViews>
    <sheetView tabSelected="1" zoomScale="80" zoomScaleNormal="80" workbookViewId="0">
      <pane xSplit="2" ySplit="4" topLeftCell="C5" activePane="bottomRight" state="frozenSplit"/>
      <selection/>
      <selection pane="topRight"/>
      <selection pane="bottomLeft"/>
      <selection pane="bottomRight" activeCell="I72" sqref="I72"/>
    </sheetView>
  </sheetViews>
  <sheetFormatPr defaultColWidth="9" defaultRowHeight="13.5"/>
  <cols>
    <col min="1" max="1" width="7.875" customWidth="1"/>
    <col min="2" max="2" width="23.75" customWidth="1"/>
    <col min="3" max="6" width="13.5" style="3" customWidth="1" outlineLevel="1"/>
    <col min="7" max="7" width="13.5" style="3" customWidth="1"/>
    <col min="8" max="8" width="13.5" style="3" customWidth="1" outlineLevel="1"/>
    <col min="9" max="9" width="6.625" customWidth="1" outlineLevel="1"/>
    <col min="10" max="10" width="10.75" customWidth="1" outlineLevel="1"/>
    <col min="11" max="11" width="11.625" style="4" customWidth="1"/>
    <col min="12" max="12" width="26.7166666666667" customWidth="1"/>
    <col min="13" max="13" width="12.625"/>
    <col min="14" max="14" width="9.375" style="5" customWidth="1"/>
    <col min="15" max="15" width="8.28333333333333" style="5" customWidth="1"/>
    <col min="16" max="16" width="12.35" style="5" customWidth="1"/>
    <col min="17" max="19" width="9.375" customWidth="1"/>
    <col min="20" max="22" width="9.375" style="4" customWidth="1"/>
  </cols>
  <sheetData>
    <row r="1" s="1" customFormat="1" ht="30" customHeight="1" spans="1:22">
      <c r="A1" s="6" t="s">
        <v>0</v>
      </c>
      <c r="B1" s="6"/>
      <c r="C1" s="7"/>
      <c r="D1" s="7"/>
      <c r="E1" s="7"/>
      <c r="F1" s="7"/>
      <c r="G1" s="7"/>
      <c r="H1" s="7"/>
      <c r="I1" s="6"/>
      <c r="J1" s="6"/>
      <c r="K1" s="17"/>
      <c r="L1" s="6"/>
      <c r="M1" s="18"/>
      <c r="N1" s="19"/>
      <c r="O1" s="19"/>
      <c r="P1" s="19"/>
      <c r="Q1" s="18"/>
      <c r="R1" s="18"/>
      <c r="S1" s="18"/>
      <c r="T1" s="30"/>
      <c r="U1" s="30"/>
      <c r="V1" s="30"/>
    </row>
    <row r="2" s="1" customFormat="1" ht="30" customHeight="1" spans="1:22">
      <c r="A2" s="8" t="s">
        <v>1</v>
      </c>
      <c r="B2" s="9"/>
      <c r="C2" s="9"/>
      <c r="D2" s="9"/>
      <c r="E2" s="9"/>
      <c r="F2" s="9"/>
      <c r="G2" s="9"/>
      <c r="H2" s="9"/>
      <c r="I2" s="9"/>
      <c r="J2" s="9"/>
      <c r="K2" s="9"/>
      <c r="L2" s="20"/>
      <c r="M2" s="18"/>
      <c r="N2" s="19"/>
      <c r="O2" s="19"/>
      <c r="P2" s="19"/>
      <c r="Q2" s="18"/>
      <c r="R2" s="18"/>
      <c r="S2" s="18"/>
      <c r="T2" s="30"/>
      <c r="U2" s="30"/>
      <c r="V2" s="30"/>
    </row>
    <row r="3" s="1" customFormat="1" ht="24" customHeight="1" spans="1:22">
      <c r="A3" s="10" t="s">
        <v>2</v>
      </c>
      <c r="B3" s="10" t="s">
        <v>3</v>
      </c>
      <c r="C3" s="11" t="s">
        <v>4</v>
      </c>
      <c r="D3" s="11"/>
      <c r="E3" s="11"/>
      <c r="F3" s="11"/>
      <c r="G3" s="11"/>
      <c r="H3" s="10" t="s">
        <v>5</v>
      </c>
      <c r="I3" s="10"/>
      <c r="J3" s="10"/>
      <c r="K3" s="10"/>
      <c r="L3" s="10" t="s">
        <v>6</v>
      </c>
      <c r="M3" s="18"/>
      <c r="N3" s="19"/>
      <c r="O3" s="19"/>
      <c r="P3" s="19"/>
      <c r="Q3" s="18"/>
      <c r="R3" s="18"/>
      <c r="S3" s="18"/>
      <c r="T3" s="30"/>
      <c r="U3" s="30"/>
      <c r="V3" s="30"/>
    </row>
    <row r="4" ht="30.95" customHeight="1" spans="1:22">
      <c r="A4" s="10"/>
      <c r="B4" s="10"/>
      <c r="C4" s="11" t="s">
        <v>7</v>
      </c>
      <c r="D4" s="11" t="s">
        <v>8</v>
      </c>
      <c r="E4" s="11" t="s">
        <v>9</v>
      </c>
      <c r="F4" s="11" t="s">
        <v>10</v>
      </c>
      <c r="G4" s="11" t="s">
        <v>11</v>
      </c>
      <c r="H4" s="11" t="s">
        <v>12</v>
      </c>
      <c r="I4" s="10" t="s">
        <v>13</v>
      </c>
      <c r="J4" s="10" t="s">
        <v>14</v>
      </c>
      <c r="K4" s="21" t="s">
        <v>15</v>
      </c>
      <c r="L4" s="10"/>
      <c r="M4" s="22"/>
      <c r="N4" s="19"/>
      <c r="O4" s="19"/>
      <c r="P4" s="19"/>
      <c r="Q4" s="22"/>
      <c r="R4" s="22"/>
      <c r="S4" s="22"/>
      <c r="T4" s="31"/>
      <c r="U4" s="31"/>
      <c r="V4" s="31"/>
    </row>
    <row r="5" ht="20.1" customHeight="1" spans="1:22">
      <c r="A5" s="12" t="s">
        <v>16</v>
      </c>
      <c r="B5" s="12" t="s">
        <v>17</v>
      </c>
      <c r="C5" s="13">
        <f>C6+C101</f>
        <v>15454.5827</v>
      </c>
      <c r="D5" s="13">
        <f>D6+D101</f>
        <v>3594.5133</v>
      </c>
      <c r="E5" s="13">
        <f>E6+E101</f>
        <v>3670.8514</v>
      </c>
      <c r="F5" s="13"/>
      <c r="G5" s="13">
        <f>G6+G101</f>
        <v>22719.9474</v>
      </c>
      <c r="H5" s="13" t="s">
        <v>18</v>
      </c>
      <c r="I5" s="23" t="s">
        <v>19</v>
      </c>
      <c r="J5" s="24">
        <f>J95</f>
        <v>45328.8</v>
      </c>
      <c r="K5" s="25">
        <f t="shared" ref="K5:K17" si="0">G5/J5*10000</f>
        <v>5012.25432837402</v>
      </c>
      <c r="L5" s="26" t="s">
        <v>20</v>
      </c>
      <c r="M5" s="22"/>
      <c r="N5" s="19"/>
      <c r="O5" s="19"/>
      <c r="P5" s="19"/>
      <c r="Q5" s="22"/>
      <c r="R5" s="22"/>
      <c r="S5" s="22"/>
      <c r="T5" s="31"/>
      <c r="U5" s="31"/>
      <c r="V5" s="31"/>
    </row>
    <row r="6" ht="20.1" customHeight="1" spans="1:22">
      <c r="A6" s="12" t="s">
        <v>21</v>
      </c>
      <c r="B6" s="12" t="s">
        <v>22</v>
      </c>
      <c r="C6" s="13">
        <f>C7+C8+C18+C27+C36+C45+C63+C72+C81+C87+C94+C95+C96+C97+C54</f>
        <v>15454.5827</v>
      </c>
      <c r="D6" s="13">
        <f>D7+D8+D18+D27+D36+D45+D54+D63+D72+D81+D87+D94+D96+D97+D95</f>
        <v>3594.5133</v>
      </c>
      <c r="E6" s="13">
        <f>E7+E8+E18+E27+E36+E45+E63+E72+E81+E87+E94+E95+E96+E97+E54</f>
        <v>738.7714</v>
      </c>
      <c r="F6" s="13"/>
      <c r="G6" s="13">
        <f t="shared" ref="G6:G17" si="1">SUM(C6:F6)</f>
        <v>19787.8674</v>
      </c>
      <c r="H6" s="13" t="s">
        <v>18</v>
      </c>
      <c r="I6" s="23" t="s">
        <v>19</v>
      </c>
      <c r="J6" s="24">
        <f>J5</f>
        <v>45328.8</v>
      </c>
      <c r="K6" s="25">
        <f t="shared" si="0"/>
        <v>4365.40729072907</v>
      </c>
      <c r="L6" s="27" t="s">
        <v>20</v>
      </c>
      <c r="M6" s="22"/>
      <c r="N6" s="19" t="s">
        <v>23</v>
      </c>
      <c r="O6" s="19"/>
      <c r="P6" s="19"/>
      <c r="Q6" s="32" t="s">
        <v>24</v>
      </c>
      <c r="R6" s="32"/>
      <c r="S6" s="32"/>
      <c r="T6" s="19" t="s">
        <v>25</v>
      </c>
      <c r="U6" s="19"/>
      <c r="V6" s="19"/>
    </row>
    <row r="7" s="2" customFormat="1" ht="25" customHeight="1" outlineLevel="1" spans="1:22">
      <c r="A7" s="14">
        <v>1</v>
      </c>
      <c r="B7" s="15" t="s">
        <v>26</v>
      </c>
      <c r="C7" s="11">
        <v>279.7445</v>
      </c>
      <c r="D7" s="11"/>
      <c r="E7" s="11"/>
      <c r="F7" s="11"/>
      <c r="G7" s="11">
        <f t="shared" si="1"/>
        <v>279.7445</v>
      </c>
      <c r="H7" s="11" t="s">
        <v>27</v>
      </c>
      <c r="I7" s="10" t="s">
        <v>28</v>
      </c>
      <c r="J7" s="21">
        <f>226+171</f>
        <v>397</v>
      </c>
      <c r="K7" s="21">
        <f t="shared" si="0"/>
        <v>7046.46095717884</v>
      </c>
      <c r="L7" s="28"/>
      <c r="M7" s="22"/>
      <c r="N7" s="19" t="s">
        <v>29</v>
      </c>
      <c r="O7" s="19" t="s">
        <v>30</v>
      </c>
      <c r="P7" s="19" t="s">
        <v>31</v>
      </c>
      <c r="Q7" s="19" t="s">
        <v>29</v>
      </c>
      <c r="R7" s="19" t="s">
        <v>30</v>
      </c>
      <c r="S7" s="22" t="s">
        <v>31</v>
      </c>
      <c r="T7" s="19" t="s">
        <v>29</v>
      </c>
      <c r="U7" s="19" t="s">
        <v>30</v>
      </c>
      <c r="V7" s="31" t="s">
        <v>31</v>
      </c>
    </row>
    <row r="8" ht="25" customHeight="1" outlineLevel="1" collapsed="1" spans="1:22">
      <c r="A8" s="14">
        <v>2</v>
      </c>
      <c r="B8" s="10" t="s">
        <v>32</v>
      </c>
      <c r="C8" s="11">
        <f>SUM(C9:C17)</f>
        <v>1134.4264</v>
      </c>
      <c r="D8" s="11">
        <f>SUM(D9:D17)</f>
        <v>280.2255</v>
      </c>
      <c r="E8" s="11">
        <f>SUM(E9:E17)</f>
        <v>11.8191</v>
      </c>
      <c r="F8" s="11"/>
      <c r="G8" s="11">
        <f t="shared" si="1"/>
        <v>1426.471</v>
      </c>
      <c r="H8" s="11" t="s">
        <v>33</v>
      </c>
      <c r="I8" s="10" t="s">
        <v>19</v>
      </c>
      <c r="J8" s="21">
        <f t="shared" ref="J8:J17" si="2">3160.3+43.4</f>
        <v>3203.7</v>
      </c>
      <c r="K8" s="21">
        <f t="shared" si="0"/>
        <v>4452.57358679027</v>
      </c>
      <c r="L8" s="10"/>
      <c r="M8" s="22"/>
      <c r="N8" s="19">
        <f>C8/J8*10000</f>
        <v>3540.98823235634</v>
      </c>
      <c r="O8" s="19">
        <f>(D8+E8+G96)/J8*10000</f>
        <v>935.182445297625</v>
      </c>
      <c r="P8" s="19">
        <f>N8+O8</f>
        <v>4476.17067765396</v>
      </c>
      <c r="Q8" s="22">
        <f>120+3200+600</f>
        <v>3920</v>
      </c>
      <c r="R8" s="22">
        <f>4526.51-Q8</f>
        <v>606.51</v>
      </c>
      <c r="S8" s="22">
        <f>Q8+R8</f>
        <v>4526.51</v>
      </c>
      <c r="T8" s="31">
        <f>N8-Q8</f>
        <v>-379.011767643662</v>
      </c>
      <c r="U8" s="31">
        <f>O8-R8</f>
        <v>328.672445297624</v>
      </c>
      <c r="V8" s="31">
        <f>P8-S8</f>
        <v>-50.339322346038</v>
      </c>
    </row>
    <row r="9" ht="25" hidden="1" customHeight="1" outlineLevel="2" spans="1:22">
      <c r="A9" s="16">
        <v>2.1</v>
      </c>
      <c r="B9" s="10" t="s">
        <v>34</v>
      </c>
      <c r="C9" s="11">
        <v>30.9752</v>
      </c>
      <c r="D9" s="11"/>
      <c r="E9" s="11"/>
      <c r="F9" s="11"/>
      <c r="G9" s="11">
        <f t="shared" si="1"/>
        <v>30.9752</v>
      </c>
      <c r="H9" s="11" t="s">
        <v>33</v>
      </c>
      <c r="I9" s="10" t="s">
        <v>19</v>
      </c>
      <c r="J9" s="21">
        <f t="shared" si="2"/>
        <v>3203.7</v>
      </c>
      <c r="K9" s="21">
        <f t="shared" si="0"/>
        <v>96.6857071511065</v>
      </c>
      <c r="L9" s="10"/>
      <c r="M9" s="22"/>
      <c r="N9" s="19"/>
      <c r="O9" s="19"/>
      <c r="P9" s="19"/>
      <c r="Q9" s="22"/>
      <c r="R9" s="22"/>
      <c r="S9" s="22"/>
      <c r="T9" s="31"/>
      <c r="U9" s="31"/>
      <c r="V9" s="31"/>
    </row>
    <row r="10" ht="25" hidden="1" customHeight="1" outlineLevel="2" spans="1:22">
      <c r="A10" s="16">
        <v>2.2</v>
      </c>
      <c r="B10" s="10" t="s">
        <v>35</v>
      </c>
      <c r="C10" s="11">
        <f>60.7241+11.9866+7.7101+432.4015+275.1804+188.5751+15.2055</f>
        <v>991.7833</v>
      </c>
      <c r="D10" s="11"/>
      <c r="E10" s="11"/>
      <c r="F10" s="11"/>
      <c r="G10" s="11">
        <f t="shared" si="1"/>
        <v>991.7833</v>
      </c>
      <c r="H10" s="11" t="s">
        <v>33</v>
      </c>
      <c r="I10" s="10" t="s">
        <v>19</v>
      </c>
      <c r="J10" s="21">
        <f t="shared" si="2"/>
        <v>3203.7</v>
      </c>
      <c r="K10" s="21">
        <f t="shared" si="0"/>
        <v>3095.74335924088</v>
      </c>
      <c r="L10" s="10"/>
      <c r="M10" s="22"/>
      <c r="N10" s="19"/>
      <c r="O10" s="19"/>
      <c r="P10" s="19"/>
      <c r="Q10" s="22"/>
      <c r="R10" s="22"/>
      <c r="S10" s="22"/>
      <c r="T10" s="31"/>
      <c r="U10" s="31"/>
      <c r="V10" s="31"/>
    </row>
    <row r="11" ht="25" hidden="1" customHeight="1" outlineLevel="2" spans="1:22">
      <c r="A11" s="16">
        <v>2.3</v>
      </c>
      <c r="B11" s="10" t="s">
        <v>36</v>
      </c>
      <c r="C11" s="11">
        <f>50.8192+19.5476+27.0666+3.1131+11.1214</f>
        <v>111.6679</v>
      </c>
      <c r="D11" s="11"/>
      <c r="E11" s="11"/>
      <c r="F11" s="11"/>
      <c r="G11" s="11">
        <f t="shared" si="1"/>
        <v>111.6679</v>
      </c>
      <c r="H11" s="11" t="s">
        <v>33</v>
      </c>
      <c r="I11" s="10" t="s">
        <v>19</v>
      </c>
      <c r="J11" s="21">
        <f t="shared" si="2"/>
        <v>3203.7</v>
      </c>
      <c r="K11" s="21">
        <f t="shared" si="0"/>
        <v>348.559165964354</v>
      </c>
      <c r="L11" s="10"/>
      <c r="M11" s="22"/>
      <c r="N11" s="19"/>
      <c r="O11" s="19"/>
      <c r="P11" s="19"/>
      <c r="Q11" s="22"/>
      <c r="R11" s="22"/>
      <c r="S11" s="22"/>
      <c r="T11" s="31"/>
      <c r="U11" s="31"/>
      <c r="V11" s="31"/>
    </row>
    <row r="12" ht="25" hidden="1" customHeight="1" outlineLevel="2" spans="1:22">
      <c r="A12" s="16">
        <v>2.4</v>
      </c>
      <c r="B12" s="10" t="s">
        <v>37</v>
      </c>
      <c r="C12" s="11"/>
      <c r="D12" s="11">
        <f>17.1883-E12</f>
        <v>8.1211</v>
      </c>
      <c r="E12" s="11">
        <v>9.0672</v>
      </c>
      <c r="F12" s="11"/>
      <c r="G12" s="11">
        <f t="shared" si="1"/>
        <v>17.1883</v>
      </c>
      <c r="H12" s="11" t="s">
        <v>33</v>
      </c>
      <c r="I12" s="10" t="s">
        <v>19</v>
      </c>
      <c r="J12" s="21">
        <f t="shared" si="2"/>
        <v>3203.7</v>
      </c>
      <c r="K12" s="21">
        <f t="shared" si="0"/>
        <v>53.6514030652059</v>
      </c>
      <c r="L12" s="10"/>
      <c r="M12" s="22"/>
      <c r="N12" s="19"/>
      <c r="O12" s="19"/>
      <c r="P12" s="19"/>
      <c r="Q12" s="22"/>
      <c r="R12" s="22"/>
      <c r="S12" s="22"/>
      <c r="T12" s="31"/>
      <c r="U12" s="31"/>
      <c r="V12" s="31"/>
    </row>
    <row r="13" ht="25" hidden="1" customHeight="1" outlineLevel="2" spans="1:22">
      <c r="A13" s="16">
        <v>2.5</v>
      </c>
      <c r="B13" s="10" t="s">
        <v>38</v>
      </c>
      <c r="C13" s="11"/>
      <c r="D13" s="11">
        <v>130.2594</v>
      </c>
      <c r="E13" s="11"/>
      <c r="F13" s="11"/>
      <c r="G13" s="11">
        <f t="shared" si="1"/>
        <v>130.2594</v>
      </c>
      <c r="H13" s="11" t="s">
        <v>33</v>
      </c>
      <c r="I13" s="10" t="s">
        <v>19</v>
      </c>
      <c r="J13" s="21">
        <f t="shared" si="2"/>
        <v>3203.7</v>
      </c>
      <c r="K13" s="21">
        <f t="shared" si="0"/>
        <v>406.590504728907</v>
      </c>
      <c r="L13" s="10"/>
      <c r="M13" s="22"/>
      <c r="N13" s="19"/>
      <c r="O13" s="19"/>
      <c r="P13" s="19"/>
      <c r="Q13" s="22"/>
      <c r="R13" s="22"/>
      <c r="S13" s="22"/>
      <c r="T13" s="31"/>
      <c r="U13" s="31"/>
      <c r="V13" s="31"/>
    </row>
    <row r="14" ht="25" hidden="1" customHeight="1" outlineLevel="2" spans="1:22">
      <c r="A14" s="16">
        <v>2.6</v>
      </c>
      <c r="B14" s="10" t="s">
        <v>39</v>
      </c>
      <c r="C14" s="11"/>
      <c r="D14" s="11">
        <f>15.7718-E14</f>
        <v>14.8418</v>
      </c>
      <c r="E14" s="11">
        <v>0.93</v>
      </c>
      <c r="F14" s="11"/>
      <c r="G14" s="11">
        <f t="shared" si="1"/>
        <v>15.7718</v>
      </c>
      <c r="H14" s="11" t="s">
        <v>33</v>
      </c>
      <c r="I14" s="10" t="s">
        <v>19</v>
      </c>
      <c r="J14" s="21">
        <f t="shared" si="2"/>
        <v>3203.7</v>
      </c>
      <c r="K14" s="21">
        <f t="shared" si="0"/>
        <v>49.2299528669975</v>
      </c>
      <c r="L14" s="10"/>
      <c r="M14" s="22"/>
      <c r="N14" s="19"/>
      <c r="O14" s="19"/>
      <c r="P14" s="19"/>
      <c r="Q14" s="22"/>
      <c r="R14" s="22"/>
      <c r="S14" s="22"/>
      <c r="T14" s="31"/>
      <c r="U14" s="31"/>
      <c r="V14" s="31"/>
    </row>
    <row r="15" ht="25" hidden="1" customHeight="1" outlineLevel="2" spans="1:22">
      <c r="A15" s="16">
        <v>2.7</v>
      </c>
      <c r="B15" s="10" t="s">
        <v>40</v>
      </c>
      <c r="C15" s="11"/>
      <c r="D15" s="11">
        <f>38.2282-E15</f>
        <v>36.4063</v>
      </c>
      <c r="E15" s="11">
        <v>1.8219</v>
      </c>
      <c r="F15" s="11"/>
      <c r="G15" s="11">
        <f t="shared" si="1"/>
        <v>38.2282</v>
      </c>
      <c r="H15" s="11" t="s">
        <v>33</v>
      </c>
      <c r="I15" s="10" t="s">
        <v>19</v>
      </c>
      <c r="J15" s="21">
        <f t="shared" si="2"/>
        <v>3203.7</v>
      </c>
      <c r="K15" s="21">
        <f t="shared" si="0"/>
        <v>119.325155289197</v>
      </c>
      <c r="L15" s="28" t="s">
        <v>41</v>
      </c>
      <c r="M15" s="22"/>
      <c r="N15" s="19"/>
      <c r="O15" s="19"/>
      <c r="P15" s="19"/>
      <c r="Q15" s="22"/>
      <c r="R15" s="22"/>
      <c r="S15" s="22"/>
      <c r="T15" s="31"/>
      <c r="U15" s="31"/>
      <c r="V15" s="31"/>
    </row>
    <row r="16" ht="25" hidden="1" customHeight="1" outlineLevel="2" spans="1:22">
      <c r="A16" s="16">
        <v>2.8</v>
      </c>
      <c r="B16" s="10" t="s">
        <v>42</v>
      </c>
      <c r="C16" s="11"/>
      <c r="D16" s="11">
        <f>40.3936+23.4293</f>
        <v>63.8229</v>
      </c>
      <c r="E16" s="11"/>
      <c r="F16" s="11"/>
      <c r="G16" s="11">
        <f t="shared" si="1"/>
        <v>63.8229</v>
      </c>
      <c r="H16" s="11" t="s">
        <v>33</v>
      </c>
      <c r="I16" s="10" t="s">
        <v>19</v>
      </c>
      <c r="J16" s="21">
        <f t="shared" si="2"/>
        <v>3203.7</v>
      </c>
      <c r="K16" s="21">
        <f t="shared" si="0"/>
        <v>199.216218747074</v>
      </c>
      <c r="L16" s="10"/>
      <c r="M16" s="22"/>
      <c r="N16" s="19"/>
      <c r="O16" s="19"/>
      <c r="P16" s="19"/>
      <c r="Q16" s="22"/>
      <c r="R16" s="22"/>
      <c r="S16" s="22"/>
      <c r="T16" s="31"/>
      <c r="U16" s="31"/>
      <c r="V16" s="31"/>
    </row>
    <row r="17" ht="25" hidden="1" customHeight="1" outlineLevel="2" spans="1:22">
      <c r="A17" s="16">
        <v>2.9</v>
      </c>
      <c r="B17" s="10" t="s">
        <v>43</v>
      </c>
      <c r="C17" s="11"/>
      <c r="D17" s="11">
        <v>26.774</v>
      </c>
      <c r="E17" s="11"/>
      <c r="F17" s="11"/>
      <c r="G17" s="11">
        <f t="shared" si="1"/>
        <v>26.774</v>
      </c>
      <c r="H17" s="11" t="s">
        <v>33</v>
      </c>
      <c r="I17" s="10" t="s">
        <v>19</v>
      </c>
      <c r="J17" s="21">
        <f t="shared" si="2"/>
        <v>3203.7</v>
      </c>
      <c r="K17" s="21">
        <f t="shared" si="0"/>
        <v>83.5721197365546</v>
      </c>
      <c r="L17" s="10"/>
      <c r="M17" s="22"/>
      <c r="N17" s="19"/>
      <c r="O17" s="19"/>
      <c r="P17" s="19"/>
      <c r="Q17" s="22"/>
      <c r="R17" s="22"/>
      <c r="S17" s="22"/>
      <c r="T17" s="31"/>
      <c r="U17" s="31"/>
      <c r="V17" s="31"/>
    </row>
    <row r="18" ht="25" customHeight="1" outlineLevel="1" collapsed="1" spans="1:22">
      <c r="A18" s="14">
        <v>3</v>
      </c>
      <c r="B18" s="10" t="s">
        <v>44</v>
      </c>
      <c r="C18" s="11">
        <f>SUM(C19:C26)</f>
        <v>2186.6678</v>
      </c>
      <c r="D18" s="11">
        <f>SUM(D19:D26)</f>
        <v>392.5059</v>
      </c>
      <c r="E18" s="11">
        <f>SUM(E19:E26)</f>
        <v>16.3363</v>
      </c>
      <c r="F18" s="11"/>
      <c r="G18" s="11">
        <f t="shared" ref="G18:G26" si="3">SUM(C18:F18)</f>
        <v>2595.51</v>
      </c>
      <c r="H18" s="11" t="s">
        <v>33</v>
      </c>
      <c r="I18" s="10" t="s">
        <v>19</v>
      </c>
      <c r="J18" s="21">
        <f t="shared" ref="J18:J26" si="4">4257.5+3853.1+116.1</f>
        <v>8226.7</v>
      </c>
      <c r="K18" s="21">
        <f t="shared" ref="K18:K26" si="5">G18/J18*10000</f>
        <v>3154.98316457389</v>
      </c>
      <c r="L18" s="10"/>
      <c r="M18" s="22"/>
      <c r="N18" s="19">
        <f>C18/J18*10000</f>
        <v>2658.0132981633</v>
      </c>
      <c r="O18" s="19">
        <f>(D18+E18)/J18*10000</f>
        <v>496.96986641059</v>
      </c>
      <c r="P18" s="19">
        <f>N18+O18</f>
        <v>3154.98316457389</v>
      </c>
      <c r="Q18" s="22">
        <f>150+1600+1150</f>
        <v>2900</v>
      </c>
      <c r="R18" s="22">
        <f>3530-Q18</f>
        <v>630</v>
      </c>
      <c r="S18" s="22">
        <f>Q18+R18</f>
        <v>3530</v>
      </c>
      <c r="T18" s="31">
        <f>N18-Q18</f>
        <v>-241.986701836703</v>
      </c>
      <c r="U18" s="31">
        <f>O18-R18</f>
        <v>-133.03013358941</v>
      </c>
      <c r="V18" s="31">
        <f>P18-S18</f>
        <v>-375.016835426113</v>
      </c>
    </row>
    <row r="19" ht="25" hidden="1" customHeight="1" outlineLevel="2" spans="1:22">
      <c r="A19" s="16">
        <v>3.1</v>
      </c>
      <c r="B19" s="10" t="s">
        <v>35</v>
      </c>
      <c r="C19" s="11">
        <f>8.434+118.899+690.5416+299.4706+124.9868+55.416</f>
        <v>1297.748</v>
      </c>
      <c r="D19" s="11"/>
      <c r="E19" s="11"/>
      <c r="F19" s="11"/>
      <c r="G19" s="11">
        <f t="shared" si="3"/>
        <v>1297.748</v>
      </c>
      <c r="H19" s="11" t="s">
        <v>33</v>
      </c>
      <c r="I19" s="10" t="s">
        <v>19</v>
      </c>
      <c r="J19" s="21">
        <f t="shared" si="4"/>
        <v>8226.7</v>
      </c>
      <c r="K19" s="21">
        <f t="shared" si="5"/>
        <v>1577.48307340732</v>
      </c>
      <c r="L19" s="10"/>
      <c r="M19" s="22"/>
      <c r="N19" s="19"/>
      <c r="O19" s="19"/>
      <c r="P19" s="19"/>
      <c r="Q19" s="22"/>
      <c r="R19" s="22"/>
      <c r="S19" s="22"/>
      <c r="T19" s="31"/>
      <c r="U19" s="31"/>
      <c r="V19" s="31"/>
    </row>
    <row r="20" ht="25" hidden="1" customHeight="1" outlineLevel="2" spans="1:22">
      <c r="A20" s="16">
        <v>3.2</v>
      </c>
      <c r="B20" s="10" t="s">
        <v>36</v>
      </c>
      <c r="C20" s="11">
        <f>250.2615+172.5714+196.5368+86.3481+122.8064+60.3956</f>
        <v>888.9198</v>
      </c>
      <c r="D20" s="11"/>
      <c r="E20" s="11"/>
      <c r="F20" s="11"/>
      <c r="G20" s="11">
        <f t="shared" si="3"/>
        <v>888.9198</v>
      </c>
      <c r="H20" s="11" t="s">
        <v>33</v>
      </c>
      <c r="I20" s="10" t="s">
        <v>19</v>
      </c>
      <c r="J20" s="21">
        <f t="shared" si="4"/>
        <v>8226.7</v>
      </c>
      <c r="K20" s="21">
        <f t="shared" si="5"/>
        <v>1080.53022475598</v>
      </c>
      <c r="L20" s="10"/>
      <c r="M20" s="22"/>
      <c r="N20" s="19"/>
      <c r="O20" s="19"/>
      <c r="P20" s="19"/>
      <c r="Q20" s="22"/>
      <c r="R20" s="22"/>
      <c r="S20" s="22"/>
      <c r="T20" s="31"/>
      <c r="U20" s="31"/>
      <c r="V20" s="31"/>
    </row>
    <row r="21" ht="25" hidden="1" customHeight="1" outlineLevel="2" spans="1:22">
      <c r="A21" s="16">
        <v>3.3</v>
      </c>
      <c r="B21" s="10" t="s">
        <v>37</v>
      </c>
      <c r="C21" s="11"/>
      <c r="D21" s="11">
        <v>63.7555</v>
      </c>
      <c r="E21" s="11"/>
      <c r="F21" s="11"/>
      <c r="G21" s="11">
        <f t="shared" si="3"/>
        <v>63.7555</v>
      </c>
      <c r="H21" s="11" t="s">
        <v>33</v>
      </c>
      <c r="I21" s="10" t="s">
        <v>19</v>
      </c>
      <c r="J21" s="21">
        <f t="shared" si="4"/>
        <v>8226.7</v>
      </c>
      <c r="K21" s="21">
        <f t="shared" si="5"/>
        <v>77.4982678352195</v>
      </c>
      <c r="L21" s="10"/>
      <c r="M21" s="22"/>
      <c r="N21" s="19"/>
      <c r="O21" s="19"/>
      <c r="P21" s="19"/>
      <c r="Q21" s="22"/>
      <c r="R21" s="22"/>
      <c r="S21" s="22"/>
      <c r="T21" s="31"/>
      <c r="U21" s="31"/>
      <c r="V21" s="31"/>
    </row>
    <row r="22" ht="25" hidden="1" customHeight="1" outlineLevel="2" spans="1:22">
      <c r="A22" s="16">
        <v>3.4</v>
      </c>
      <c r="B22" s="10" t="s">
        <v>38</v>
      </c>
      <c r="C22" s="11"/>
      <c r="D22" s="11">
        <f>184.1871-E22</f>
        <v>181.7871</v>
      </c>
      <c r="E22" s="11">
        <v>2.4</v>
      </c>
      <c r="F22" s="11"/>
      <c r="G22" s="11">
        <f t="shared" si="3"/>
        <v>184.1871</v>
      </c>
      <c r="H22" s="11" t="s">
        <v>33</v>
      </c>
      <c r="I22" s="10" t="s">
        <v>19</v>
      </c>
      <c r="J22" s="21">
        <f t="shared" si="4"/>
        <v>8226.7</v>
      </c>
      <c r="K22" s="21">
        <f t="shared" si="5"/>
        <v>223.889408875977</v>
      </c>
      <c r="L22" s="10"/>
      <c r="M22" s="22"/>
      <c r="N22" s="19"/>
      <c r="O22" s="19"/>
      <c r="P22" s="19"/>
      <c r="Q22" s="22"/>
      <c r="R22" s="22"/>
      <c r="S22" s="22"/>
      <c r="T22" s="31"/>
      <c r="U22" s="31"/>
      <c r="V22" s="31"/>
    </row>
    <row r="23" ht="25" hidden="1" customHeight="1" outlineLevel="2" spans="1:22">
      <c r="A23" s="16">
        <v>3.5</v>
      </c>
      <c r="B23" s="10" t="s">
        <v>39</v>
      </c>
      <c r="C23" s="11"/>
      <c r="D23" s="11">
        <f>63.4871-E23</f>
        <v>49.5508</v>
      </c>
      <c r="E23" s="11">
        <v>13.9363</v>
      </c>
      <c r="F23" s="11"/>
      <c r="G23" s="11">
        <f t="shared" si="3"/>
        <v>63.4871</v>
      </c>
      <c r="H23" s="11" t="s">
        <v>33</v>
      </c>
      <c r="I23" s="10" t="s">
        <v>19</v>
      </c>
      <c r="J23" s="21">
        <f t="shared" si="4"/>
        <v>8226.7</v>
      </c>
      <c r="K23" s="21">
        <f t="shared" si="5"/>
        <v>77.1720130793635</v>
      </c>
      <c r="L23" s="10"/>
      <c r="M23" s="22"/>
      <c r="N23" s="19"/>
      <c r="O23" s="19"/>
      <c r="P23" s="19"/>
      <c r="Q23" s="22"/>
      <c r="R23" s="22"/>
      <c r="S23" s="22"/>
      <c r="T23" s="31"/>
      <c r="U23" s="31"/>
      <c r="V23" s="31"/>
    </row>
    <row r="24" ht="25" hidden="1" customHeight="1" outlineLevel="2" spans="1:22">
      <c r="A24" s="16">
        <v>3.6</v>
      </c>
      <c r="B24" s="10" t="s">
        <v>40</v>
      </c>
      <c r="C24" s="11"/>
      <c r="D24" s="11">
        <v>13.8747</v>
      </c>
      <c r="E24" s="11"/>
      <c r="F24" s="11"/>
      <c r="G24" s="11">
        <f t="shared" si="3"/>
        <v>13.8747</v>
      </c>
      <c r="H24" s="11" t="s">
        <v>33</v>
      </c>
      <c r="I24" s="10" t="s">
        <v>19</v>
      </c>
      <c r="J24" s="21">
        <f t="shared" si="4"/>
        <v>8226.7</v>
      </c>
      <c r="K24" s="21">
        <f t="shared" si="5"/>
        <v>16.8654503020652</v>
      </c>
      <c r="L24" s="10"/>
      <c r="M24" s="22"/>
      <c r="N24" s="19"/>
      <c r="O24" s="19"/>
      <c r="P24" s="19"/>
      <c r="Q24" s="22"/>
      <c r="R24" s="22"/>
      <c r="S24" s="22"/>
      <c r="T24" s="31"/>
      <c r="U24" s="31"/>
      <c r="V24" s="31"/>
    </row>
    <row r="25" ht="25" hidden="1" customHeight="1" outlineLevel="2" spans="1:22">
      <c r="A25" s="16">
        <v>3.7</v>
      </c>
      <c r="B25" s="10" t="s">
        <v>42</v>
      </c>
      <c r="C25" s="11"/>
      <c r="D25" s="11">
        <f>47.851+19.683</f>
        <v>67.534</v>
      </c>
      <c r="E25" s="11"/>
      <c r="F25" s="11"/>
      <c r="G25" s="11">
        <f t="shared" si="3"/>
        <v>67.534</v>
      </c>
      <c r="H25" s="11" t="s">
        <v>33</v>
      </c>
      <c r="I25" s="10" t="s">
        <v>19</v>
      </c>
      <c r="J25" s="21">
        <f t="shared" si="4"/>
        <v>8226.7</v>
      </c>
      <c r="K25" s="21">
        <f t="shared" si="5"/>
        <v>82.0912395006503</v>
      </c>
      <c r="L25" s="10"/>
      <c r="M25" s="22"/>
      <c r="N25" s="19"/>
      <c r="O25" s="19"/>
      <c r="P25" s="19"/>
      <c r="Q25" s="22"/>
      <c r="R25" s="22"/>
      <c r="S25" s="22"/>
      <c r="T25" s="31"/>
      <c r="U25" s="31"/>
      <c r="V25" s="31"/>
    </row>
    <row r="26" ht="25" hidden="1" customHeight="1" outlineLevel="2" spans="1:22">
      <c r="A26" s="16">
        <v>3.8</v>
      </c>
      <c r="B26" s="10" t="s">
        <v>43</v>
      </c>
      <c r="C26" s="11"/>
      <c r="D26" s="11">
        <v>16.0038</v>
      </c>
      <c r="E26" s="11"/>
      <c r="F26" s="11"/>
      <c r="G26" s="11">
        <f t="shared" si="3"/>
        <v>16.0038</v>
      </c>
      <c r="H26" s="11" t="s">
        <v>33</v>
      </c>
      <c r="I26" s="10" t="s">
        <v>19</v>
      </c>
      <c r="J26" s="21">
        <f t="shared" si="4"/>
        <v>8226.7</v>
      </c>
      <c r="K26" s="21">
        <f t="shared" si="5"/>
        <v>19.4534868173144</v>
      </c>
      <c r="L26" s="10"/>
      <c r="M26" s="22"/>
      <c r="N26" s="19"/>
      <c r="O26" s="19"/>
      <c r="P26" s="19"/>
      <c r="Q26" s="22"/>
      <c r="R26" s="22"/>
      <c r="S26" s="22"/>
      <c r="T26" s="31"/>
      <c r="U26" s="31"/>
      <c r="V26" s="31"/>
    </row>
    <row r="27" ht="25" customHeight="1" outlineLevel="1" collapsed="1" spans="1:22">
      <c r="A27" s="14">
        <v>4</v>
      </c>
      <c r="B27" s="10" t="s">
        <v>45</v>
      </c>
      <c r="C27" s="11">
        <f>SUM(C28:C35)</f>
        <v>2410.5096</v>
      </c>
      <c r="D27" s="11">
        <f>SUM(D28:D35)</f>
        <v>458.3769</v>
      </c>
      <c r="E27" s="11">
        <f>SUM(E28:E35)</f>
        <v>21.4659</v>
      </c>
      <c r="F27" s="11"/>
      <c r="G27" s="11">
        <f t="shared" ref="G27:G35" si="6">SUM(C27:F27)</f>
        <v>2890.3524</v>
      </c>
      <c r="H27" s="11" t="s">
        <v>33</v>
      </c>
      <c r="I27" s="10" t="s">
        <v>19</v>
      </c>
      <c r="J27" s="21">
        <f t="shared" ref="J27:J35" si="7">8755.5+175.8</f>
        <v>8931.3</v>
      </c>
      <c r="K27" s="21">
        <f t="shared" ref="K27:K35" si="8">G27/J27*10000</f>
        <v>3236.205703537</v>
      </c>
      <c r="L27" s="10"/>
      <c r="M27" s="22"/>
      <c r="N27" s="19">
        <f>C27/J27*10000</f>
        <v>2698.94595411642</v>
      </c>
      <c r="O27" s="19">
        <f>(D27+E27)/J27*10000</f>
        <v>537.259749420577</v>
      </c>
      <c r="P27" s="19">
        <f>N27+O27</f>
        <v>3236.205703537</v>
      </c>
      <c r="Q27" s="22">
        <f>150+1600+1100</f>
        <v>2850</v>
      </c>
      <c r="R27" s="22">
        <f>3530-Q27</f>
        <v>680</v>
      </c>
      <c r="S27" s="22">
        <f>Q27+R27</f>
        <v>3530</v>
      </c>
      <c r="T27" s="31">
        <f>N27-Q27</f>
        <v>-151.054045883578</v>
      </c>
      <c r="U27" s="31">
        <f>O27-R27</f>
        <v>-142.740250579423</v>
      </c>
      <c r="V27" s="31">
        <f>P27-S27</f>
        <v>-293.794296463001</v>
      </c>
    </row>
    <row r="28" ht="25" hidden="1" customHeight="1" outlineLevel="2" spans="1:22">
      <c r="A28" s="16">
        <v>4.1</v>
      </c>
      <c r="B28" s="10" t="s">
        <v>35</v>
      </c>
      <c r="C28" s="11">
        <f>9.0665+125.3848+758.0642+322.3384+109.909+3.1082</f>
        <v>1327.8711</v>
      </c>
      <c r="D28" s="11"/>
      <c r="E28" s="11"/>
      <c r="F28" s="11"/>
      <c r="G28" s="11">
        <f t="shared" si="6"/>
        <v>1327.8711</v>
      </c>
      <c r="H28" s="11" t="s">
        <v>33</v>
      </c>
      <c r="I28" s="10" t="s">
        <v>19</v>
      </c>
      <c r="J28" s="21">
        <f t="shared" si="7"/>
        <v>8931.3</v>
      </c>
      <c r="K28" s="21">
        <f t="shared" si="8"/>
        <v>1486.76127775352</v>
      </c>
      <c r="L28" s="10"/>
      <c r="M28" s="22"/>
      <c r="N28" s="19"/>
      <c r="O28" s="19"/>
      <c r="P28" s="19"/>
      <c r="Q28" s="22"/>
      <c r="R28" s="22"/>
      <c r="S28" s="22"/>
      <c r="T28" s="31"/>
      <c r="U28" s="31"/>
      <c r="V28" s="31"/>
    </row>
    <row r="29" ht="25" hidden="1" customHeight="1" outlineLevel="2" spans="1:22">
      <c r="A29" s="16">
        <v>4.2</v>
      </c>
      <c r="B29" s="10" t="s">
        <v>36</v>
      </c>
      <c r="C29" s="11">
        <f>320.841+215.9724+180.3405+137.3444+153.6508+74.4894</f>
        <v>1082.6385</v>
      </c>
      <c r="D29" s="11"/>
      <c r="E29" s="11"/>
      <c r="F29" s="11"/>
      <c r="G29" s="11">
        <f t="shared" si="6"/>
        <v>1082.6385</v>
      </c>
      <c r="H29" s="11" t="s">
        <v>33</v>
      </c>
      <c r="I29" s="10" t="s">
        <v>19</v>
      </c>
      <c r="J29" s="21">
        <f t="shared" si="7"/>
        <v>8931.3</v>
      </c>
      <c r="K29" s="21">
        <f t="shared" si="8"/>
        <v>1212.1846763629</v>
      </c>
      <c r="L29" s="10"/>
      <c r="M29" s="22"/>
      <c r="N29" s="19"/>
      <c r="O29" s="19"/>
      <c r="P29" s="19"/>
      <c r="Q29" s="22"/>
      <c r="R29" s="22"/>
      <c r="S29" s="22"/>
      <c r="T29" s="31"/>
      <c r="U29" s="31"/>
      <c r="V29" s="31"/>
    </row>
    <row r="30" ht="25" hidden="1" customHeight="1" outlineLevel="2" spans="1:22">
      <c r="A30" s="16">
        <v>4.3</v>
      </c>
      <c r="B30" s="10" t="s">
        <v>37</v>
      </c>
      <c r="C30" s="11"/>
      <c r="D30" s="11">
        <v>86.3515</v>
      </c>
      <c r="E30" s="11"/>
      <c r="F30" s="11"/>
      <c r="G30" s="11">
        <f t="shared" si="6"/>
        <v>86.3515</v>
      </c>
      <c r="H30" s="11" t="s">
        <v>33</v>
      </c>
      <c r="I30" s="10" t="s">
        <v>19</v>
      </c>
      <c r="J30" s="21">
        <f t="shared" si="7"/>
        <v>8931.3</v>
      </c>
      <c r="K30" s="21">
        <f t="shared" si="8"/>
        <v>96.6841333288547</v>
      </c>
      <c r="L30" s="10"/>
      <c r="M30" s="22"/>
      <c r="N30" s="19"/>
      <c r="O30" s="19"/>
      <c r="P30" s="19"/>
      <c r="Q30" s="22"/>
      <c r="R30" s="22"/>
      <c r="S30" s="22"/>
      <c r="T30" s="31"/>
      <c r="U30" s="31"/>
      <c r="V30" s="31"/>
    </row>
    <row r="31" ht="25" hidden="1" customHeight="1" outlineLevel="2" spans="1:22">
      <c r="A31" s="16">
        <v>4.4</v>
      </c>
      <c r="B31" s="10" t="s">
        <v>38</v>
      </c>
      <c r="C31" s="11"/>
      <c r="D31" s="11">
        <f>209.086-E31</f>
        <v>207.886</v>
      </c>
      <c r="E31" s="11">
        <v>1.2</v>
      </c>
      <c r="F31" s="11"/>
      <c r="G31" s="11">
        <f t="shared" si="6"/>
        <v>209.086</v>
      </c>
      <c r="H31" s="11" t="s">
        <v>33</v>
      </c>
      <c r="I31" s="10" t="s">
        <v>19</v>
      </c>
      <c r="J31" s="21">
        <f t="shared" si="7"/>
        <v>8931.3</v>
      </c>
      <c r="K31" s="21">
        <f t="shared" si="8"/>
        <v>234.104777579972</v>
      </c>
      <c r="L31" s="10"/>
      <c r="M31" s="22"/>
      <c r="N31" s="19"/>
      <c r="O31" s="19"/>
      <c r="P31" s="19"/>
      <c r="Q31" s="22"/>
      <c r="R31" s="22"/>
      <c r="S31" s="22"/>
      <c r="T31" s="31"/>
      <c r="U31" s="31"/>
      <c r="V31" s="31"/>
    </row>
    <row r="32" ht="25" hidden="1" customHeight="1" outlineLevel="2" spans="1:22">
      <c r="A32" s="16">
        <v>4.5</v>
      </c>
      <c r="B32" s="10" t="s">
        <v>39</v>
      </c>
      <c r="C32" s="11"/>
      <c r="D32" s="11">
        <f>74.5857-E32</f>
        <v>60.8198</v>
      </c>
      <c r="E32" s="11">
        <v>13.7659</v>
      </c>
      <c r="F32" s="11"/>
      <c r="G32" s="11">
        <f t="shared" si="6"/>
        <v>74.5857</v>
      </c>
      <c r="H32" s="11" t="s">
        <v>33</v>
      </c>
      <c r="I32" s="10" t="s">
        <v>19</v>
      </c>
      <c r="J32" s="21">
        <f t="shared" si="7"/>
        <v>8931.3</v>
      </c>
      <c r="K32" s="21">
        <f t="shared" si="8"/>
        <v>83.5104632024454</v>
      </c>
      <c r="L32" s="10"/>
      <c r="M32" s="22"/>
      <c r="N32" s="19"/>
      <c r="O32" s="19"/>
      <c r="P32" s="19"/>
      <c r="Q32" s="22"/>
      <c r="R32" s="22"/>
      <c r="S32" s="22"/>
      <c r="T32" s="31"/>
      <c r="U32" s="31"/>
      <c r="V32" s="31"/>
    </row>
    <row r="33" ht="25" hidden="1" customHeight="1" outlineLevel="2" spans="1:22">
      <c r="A33" s="16">
        <v>4.6</v>
      </c>
      <c r="B33" s="10" t="s">
        <v>40</v>
      </c>
      <c r="C33" s="11"/>
      <c r="D33" s="11">
        <f>27.8982-E33</f>
        <v>21.3982</v>
      </c>
      <c r="E33" s="11">
        <v>6.5</v>
      </c>
      <c r="F33" s="11"/>
      <c r="G33" s="11">
        <f t="shared" si="6"/>
        <v>27.8982</v>
      </c>
      <c r="H33" s="11" t="s">
        <v>33</v>
      </c>
      <c r="I33" s="10" t="s">
        <v>19</v>
      </c>
      <c r="J33" s="21">
        <f t="shared" si="7"/>
        <v>8931.3</v>
      </c>
      <c r="K33" s="21">
        <f t="shared" si="8"/>
        <v>31.236438144503</v>
      </c>
      <c r="L33" s="10"/>
      <c r="M33" s="22"/>
      <c r="N33" s="19"/>
      <c r="O33" s="19"/>
      <c r="P33" s="19"/>
      <c r="Q33" s="22"/>
      <c r="R33" s="22"/>
      <c r="S33" s="22"/>
      <c r="T33" s="31"/>
      <c r="U33" s="31"/>
      <c r="V33" s="31"/>
    </row>
    <row r="34" ht="25" hidden="1" customHeight="1" outlineLevel="2" spans="1:22">
      <c r="A34" s="16">
        <v>4.7</v>
      </c>
      <c r="B34" s="10" t="s">
        <v>42</v>
      </c>
      <c r="C34" s="11"/>
      <c r="D34" s="11">
        <f>52.9215+11.6159</f>
        <v>64.5374</v>
      </c>
      <c r="E34" s="11"/>
      <c r="F34" s="11"/>
      <c r="G34" s="11">
        <f t="shared" si="6"/>
        <v>64.5374</v>
      </c>
      <c r="H34" s="11" t="s">
        <v>33</v>
      </c>
      <c r="I34" s="10" t="s">
        <v>19</v>
      </c>
      <c r="J34" s="21">
        <f t="shared" si="7"/>
        <v>8931.3</v>
      </c>
      <c r="K34" s="21">
        <f t="shared" si="8"/>
        <v>72.2598054034687</v>
      </c>
      <c r="L34" s="10"/>
      <c r="M34" s="22"/>
      <c r="N34" s="19"/>
      <c r="O34" s="19"/>
      <c r="P34" s="19"/>
      <c r="Q34" s="22"/>
      <c r="R34" s="22"/>
      <c r="S34" s="22"/>
      <c r="T34" s="31"/>
      <c r="U34" s="31"/>
      <c r="V34" s="31"/>
    </row>
    <row r="35" ht="25" hidden="1" customHeight="1" outlineLevel="2" spans="1:22">
      <c r="A35" s="16">
        <v>4.8</v>
      </c>
      <c r="B35" s="10" t="s">
        <v>43</v>
      </c>
      <c r="C35" s="11"/>
      <c r="D35" s="11">
        <v>17.384</v>
      </c>
      <c r="E35" s="11"/>
      <c r="F35" s="11"/>
      <c r="G35" s="11">
        <f t="shared" si="6"/>
        <v>17.384</v>
      </c>
      <c r="H35" s="11" t="s">
        <v>33</v>
      </c>
      <c r="I35" s="10" t="s">
        <v>19</v>
      </c>
      <c r="J35" s="21">
        <f t="shared" si="7"/>
        <v>8931.3</v>
      </c>
      <c r="K35" s="21">
        <f t="shared" si="8"/>
        <v>19.4641317613337</v>
      </c>
      <c r="L35" s="10"/>
      <c r="M35" s="22"/>
      <c r="N35" s="19"/>
      <c r="O35" s="19"/>
      <c r="P35" s="19"/>
      <c r="Q35" s="22"/>
      <c r="R35" s="22"/>
      <c r="S35" s="22"/>
      <c r="T35" s="31"/>
      <c r="U35" s="31"/>
      <c r="V35" s="31"/>
    </row>
    <row r="36" ht="25" customHeight="1" outlineLevel="1" collapsed="1" spans="1:22">
      <c r="A36" s="14">
        <v>5</v>
      </c>
      <c r="B36" s="10" t="s">
        <v>46</v>
      </c>
      <c r="C36" s="11">
        <f>SUM(C37:C44)</f>
        <v>2238.9457</v>
      </c>
      <c r="D36" s="11">
        <f>SUM(D37:D44)</f>
        <v>476.514</v>
      </c>
      <c r="E36" s="11">
        <f>SUM(E37:E44)</f>
        <v>19.0486</v>
      </c>
      <c r="F36" s="11"/>
      <c r="G36" s="11">
        <f t="shared" ref="G36:G44" si="9">SUM(C36:F36)</f>
        <v>2734.5083</v>
      </c>
      <c r="H36" s="11" t="s">
        <v>33</v>
      </c>
      <c r="I36" s="10" t="s">
        <v>19</v>
      </c>
      <c r="J36" s="21">
        <f>8247+133.7</f>
        <v>8380.7</v>
      </c>
      <c r="K36" s="21">
        <f t="shared" ref="K36:K44" si="10">G36/J36*10000</f>
        <v>3262.86384192251</v>
      </c>
      <c r="L36" s="10"/>
      <c r="M36" s="22"/>
      <c r="N36" s="19">
        <f>C36/J36*10000</f>
        <v>2671.5497512141</v>
      </c>
      <c r="O36" s="19">
        <f>(D36+E36)/J36*10000</f>
        <v>591.314090708413</v>
      </c>
      <c r="P36" s="19">
        <f>N36+O36</f>
        <v>3262.86384192251</v>
      </c>
      <c r="Q36" s="22">
        <f>150+1650+1200</f>
        <v>3000</v>
      </c>
      <c r="R36" s="22">
        <f>3620-Q36</f>
        <v>620</v>
      </c>
      <c r="S36" s="22">
        <f>Q36+R36</f>
        <v>3620</v>
      </c>
      <c r="T36" s="31">
        <f>N36-Q36</f>
        <v>-328.450248785901</v>
      </c>
      <c r="U36" s="31">
        <f>O36-R36</f>
        <v>-28.6859092915867</v>
      </c>
      <c r="V36" s="31">
        <f>P36-S36</f>
        <v>-357.136158077487</v>
      </c>
    </row>
    <row r="37" ht="25" hidden="1" customHeight="1" outlineLevel="2" spans="1:22">
      <c r="A37" s="16">
        <v>5.1</v>
      </c>
      <c r="B37" s="10" t="s">
        <v>35</v>
      </c>
      <c r="C37" s="11">
        <f>166.9912+434.2687+208.4243+96.23+6.7288+6.1854+37.8603+180.2558+75.894+80.4548+9.0001</f>
        <v>1302.2934</v>
      </c>
      <c r="D37" s="11"/>
      <c r="E37" s="11"/>
      <c r="F37" s="11"/>
      <c r="G37" s="11">
        <f t="shared" si="9"/>
        <v>1302.2934</v>
      </c>
      <c r="H37" s="11" t="s">
        <v>33</v>
      </c>
      <c r="I37" s="10" t="s">
        <v>19</v>
      </c>
      <c r="J37" s="21">
        <f t="shared" ref="J36:J44" si="11">8177.8+133.7</f>
        <v>8311.5</v>
      </c>
      <c r="K37" s="21">
        <f t="shared" si="10"/>
        <v>1566.85724598448</v>
      </c>
      <c r="L37" s="10"/>
      <c r="M37" s="22"/>
      <c r="N37" s="19"/>
      <c r="O37" s="19"/>
      <c r="P37" s="19"/>
      <c r="Q37" s="22"/>
      <c r="R37" s="22"/>
      <c r="S37" s="22"/>
      <c r="T37" s="31"/>
      <c r="U37" s="31"/>
      <c r="V37" s="31"/>
    </row>
    <row r="38" ht="25" hidden="1" customHeight="1" outlineLevel="2" spans="1:22">
      <c r="A38" s="16">
        <v>5.2</v>
      </c>
      <c r="B38" s="10" t="s">
        <v>36</v>
      </c>
      <c r="C38" s="11">
        <f>1679.3086+559.6371-C37</f>
        <v>936.6523</v>
      </c>
      <c r="D38" s="11"/>
      <c r="E38" s="11"/>
      <c r="F38" s="11"/>
      <c r="G38" s="11">
        <f t="shared" si="9"/>
        <v>936.6523</v>
      </c>
      <c r="H38" s="11" t="s">
        <v>33</v>
      </c>
      <c r="I38" s="10" t="s">
        <v>19</v>
      </c>
      <c r="J38" s="21">
        <f t="shared" si="11"/>
        <v>8311.5</v>
      </c>
      <c r="K38" s="21">
        <f t="shared" si="10"/>
        <v>1126.93533056608</v>
      </c>
      <c r="L38" s="10"/>
      <c r="M38" s="22"/>
      <c r="N38" s="19"/>
      <c r="O38" s="19"/>
      <c r="P38" s="19"/>
      <c r="Q38" s="22"/>
      <c r="R38" s="22"/>
      <c r="S38" s="22"/>
      <c r="T38" s="31"/>
      <c r="U38" s="31"/>
      <c r="V38" s="31"/>
    </row>
    <row r="39" ht="25" hidden="1" customHeight="1" outlineLevel="2" spans="1:22">
      <c r="A39" s="16">
        <v>5.3</v>
      </c>
      <c r="B39" s="10" t="s">
        <v>37</v>
      </c>
      <c r="C39" s="11"/>
      <c r="D39" s="11">
        <v>64.6828</v>
      </c>
      <c r="E39" s="11"/>
      <c r="F39" s="11"/>
      <c r="G39" s="11">
        <f t="shared" si="9"/>
        <v>64.6828</v>
      </c>
      <c r="H39" s="11" t="s">
        <v>33</v>
      </c>
      <c r="I39" s="10" t="s">
        <v>19</v>
      </c>
      <c r="J39" s="21">
        <f t="shared" si="11"/>
        <v>8311.5</v>
      </c>
      <c r="K39" s="21">
        <f t="shared" si="10"/>
        <v>77.8232569331649</v>
      </c>
      <c r="L39" s="10"/>
      <c r="M39" s="22"/>
      <c r="N39" s="19"/>
      <c r="O39" s="19"/>
      <c r="P39" s="19"/>
      <c r="Q39" s="22"/>
      <c r="R39" s="22"/>
      <c r="S39" s="22"/>
      <c r="T39" s="31"/>
      <c r="U39" s="31"/>
      <c r="V39" s="31"/>
    </row>
    <row r="40" ht="25" hidden="1" customHeight="1" outlineLevel="2" spans="1:22">
      <c r="A40" s="16">
        <v>5.4</v>
      </c>
      <c r="B40" s="10" t="s">
        <v>38</v>
      </c>
      <c r="C40" s="11"/>
      <c r="D40" s="11">
        <f>209.8973-E40</f>
        <v>208.8973</v>
      </c>
      <c r="E40" s="11">
        <v>1</v>
      </c>
      <c r="F40" s="11"/>
      <c r="G40" s="11">
        <f t="shared" si="9"/>
        <v>209.8973</v>
      </c>
      <c r="H40" s="11" t="s">
        <v>33</v>
      </c>
      <c r="I40" s="10" t="s">
        <v>19</v>
      </c>
      <c r="J40" s="21">
        <f t="shared" si="11"/>
        <v>8311.5</v>
      </c>
      <c r="K40" s="21">
        <f t="shared" si="10"/>
        <v>252.538410635866</v>
      </c>
      <c r="L40" s="10"/>
      <c r="M40" s="22"/>
      <c r="N40" s="19"/>
      <c r="O40" s="19"/>
      <c r="P40" s="19"/>
      <c r="Q40" s="22"/>
      <c r="R40" s="22"/>
      <c r="S40" s="22"/>
      <c r="T40" s="31"/>
      <c r="U40" s="31"/>
      <c r="V40" s="31"/>
    </row>
    <row r="41" ht="25" hidden="1" customHeight="1" outlineLevel="2" spans="1:22">
      <c r="A41" s="16">
        <v>5.5</v>
      </c>
      <c r="B41" s="10" t="s">
        <v>39</v>
      </c>
      <c r="C41" s="11"/>
      <c r="D41" s="11">
        <f>72.2195-E41</f>
        <v>57.5709</v>
      </c>
      <c r="E41" s="11">
        <v>14.6486</v>
      </c>
      <c r="F41" s="11"/>
      <c r="G41" s="11">
        <f t="shared" si="9"/>
        <v>72.2195</v>
      </c>
      <c r="H41" s="11" t="s">
        <v>33</v>
      </c>
      <c r="I41" s="10" t="s">
        <v>19</v>
      </c>
      <c r="J41" s="21">
        <f t="shared" si="11"/>
        <v>8311.5</v>
      </c>
      <c r="K41" s="21">
        <f t="shared" si="10"/>
        <v>86.8910545629549</v>
      </c>
      <c r="L41" s="10"/>
      <c r="M41" s="22"/>
      <c r="N41" s="19"/>
      <c r="O41" s="19"/>
      <c r="P41" s="19"/>
      <c r="Q41" s="22"/>
      <c r="R41" s="22"/>
      <c r="S41" s="22"/>
      <c r="T41" s="31"/>
      <c r="U41" s="31"/>
      <c r="V41" s="31"/>
    </row>
    <row r="42" ht="25" hidden="1" customHeight="1" outlineLevel="2" spans="1:22">
      <c r="A42" s="16">
        <v>5.6</v>
      </c>
      <c r="B42" s="10" t="s">
        <v>40</v>
      </c>
      <c r="C42" s="11"/>
      <c r="D42" s="11">
        <f>52.8921-E42</f>
        <v>49.4921</v>
      </c>
      <c r="E42" s="11">
        <v>3.4</v>
      </c>
      <c r="F42" s="11"/>
      <c r="G42" s="11">
        <f t="shared" si="9"/>
        <v>52.8921</v>
      </c>
      <c r="H42" s="11" t="s">
        <v>33</v>
      </c>
      <c r="I42" s="10" t="s">
        <v>19</v>
      </c>
      <c r="J42" s="21">
        <f t="shared" si="11"/>
        <v>8311.5</v>
      </c>
      <c r="K42" s="21">
        <f t="shared" si="10"/>
        <v>63.6372495939361</v>
      </c>
      <c r="L42" s="10"/>
      <c r="M42" s="22"/>
      <c r="N42" s="19"/>
      <c r="O42" s="19"/>
      <c r="P42" s="19"/>
      <c r="Q42" s="22"/>
      <c r="R42" s="22"/>
      <c r="S42" s="22"/>
      <c r="T42" s="31"/>
      <c r="U42" s="31"/>
      <c r="V42" s="31"/>
    </row>
    <row r="43" ht="25" hidden="1" customHeight="1" outlineLevel="2" spans="1:22">
      <c r="A43" s="16">
        <v>5.7</v>
      </c>
      <c r="B43" s="10" t="s">
        <v>42</v>
      </c>
      <c r="C43" s="11"/>
      <c r="D43" s="11">
        <f>48.8257+30.805</f>
        <v>79.6307</v>
      </c>
      <c r="E43" s="11"/>
      <c r="F43" s="11"/>
      <c r="G43" s="11">
        <f t="shared" si="9"/>
        <v>79.6307</v>
      </c>
      <c r="H43" s="11" t="s">
        <v>33</v>
      </c>
      <c r="I43" s="10" t="s">
        <v>19</v>
      </c>
      <c r="J43" s="21">
        <f t="shared" si="11"/>
        <v>8311.5</v>
      </c>
      <c r="K43" s="21">
        <f t="shared" si="10"/>
        <v>95.8078565842507</v>
      </c>
      <c r="L43" s="10"/>
      <c r="M43" s="22"/>
      <c r="N43" s="19"/>
      <c r="O43" s="19"/>
      <c r="P43" s="19"/>
      <c r="Q43" s="22"/>
      <c r="R43" s="22"/>
      <c r="S43" s="22"/>
      <c r="T43" s="31"/>
      <c r="U43" s="31"/>
      <c r="V43" s="31"/>
    </row>
    <row r="44" ht="25" hidden="1" customHeight="1" outlineLevel="2" spans="1:22">
      <c r="A44" s="16">
        <v>5.8</v>
      </c>
      <c r="B44" s="10" t="s">
        <v>43</v>
      </c>
      <c r="C44" s="11"/>
      <c r="D44" s="11">
        <v>16.2402</v>
      </c>
      <c r="E44" s="11"/>
      <c r="F44" s="11"/>
      <c r="G44" s="11">
        <f t="shared" si="9"/>
        <v>16.2402</v>
      </c>
      <c r="H44" s="11" t="s">
        <v>33</v>
      </c>
      <c r="I44" s="10" t="s">
        <v>19</v>
      </c>
      <c r="J44" s="21">
        <f t="shared" si="11"/>
        <v>8311.5</v>
      </c>
      <c r="K44" s="21">
        <f t="shared" si="10"/>
        <v>19.5394333152861</v>
      </c>
      <c r="L44" s="10"/>
      <c r="M44" s="22"/>
      <c r="N44" s="19"/>
      <c r="O44" s="19"/>
      <c r="P44" s="19"/>
      <c r="Q44" s="22"/>
      <c r="R44" s="22"/>
      <c r="S44" s="22"/>
      <c r="T44" s="31"/>
      <c r="U44" s="31"/>
      <c r="V44" s="31"/>
    </row>
    <row r="45" ht="25" customHeight="1" outlineLevel="1" collapsed="1" spans="1:22">
      <c r="A45" s="14">
        <v>6</v>
      </c>
      <c r="B45" s="10" t="s">
        <v>47</v>
      </c>
      <c r="C45" s="11">
        <f>SUM(C46:C53)</f>
        <v>693.918</v>
      </c>
      <c r="D45" s="11">
        <f>SUM(D46:D53)</f>
        <v>126.7209</v>
      </c>
      <c r="E45" s="11">
        <f>SUM(E46:E53)</f>
        <v>24.065</v>
      </c>
      <c r="F45" s="11"/>
      <c r="G45" s="11">
        <f t="shared" ref="G45:G54" si="12">SUM(C45:F45)</f>
        <v>844.7039</v>
      </c>
      <c r="H45" s="11" t="s">
        <v>33</v>
      </c>
      <c r="I45" s="10" t="s">
        <v>19</v>
      </c>
      <c r="J45" s="21">
        <v>2140.4</v>
      </c>
      <c r="K45" s="21">
        <f t="shared" ref="K45:K54" si="13">G45/J45*10000</f>
        <v>3946.47682676135</v>
      </c>
      <c r="L45" s="29"/>
      <c r="M45" s="22"/>
      <c r="N45" s="19">
        <f>C45/J45*10000</f>
        <v>3242.00149504765</v>
      </c>
      <c r="O45" s="19">
        <f>(D45+E45)/J45*10000</f>
        <v>704.475331713698</v>
      </c>
      <c r="P45" s="19">
        <f>N45+O45</f>
        <v>3946.47682676135</v>
      </c>
      <c r="Q45" s="22">
        <f>150+1600+1200</f>
        <v>2950</v>
      </c>
      <c r="R45" s="22">
        <f>3600-Q45</f>
        <v>650</v>
      </c>
      <c r="S45" s="22">
        <f>Q45+R45</f>
        <v>3600</v>
      </c>
      <c r="T45" s="31">
        <f>N45-Q45</f>
        <v>292.001495047654</v>
      </c>
      <c r="U45" s="31">
        <f>O45-R45</f>
        <v>54.4753317136983</v>
      </c>
      <c r="V45" s="31">
        <f>P45-S45</f>
        <v>346.476826761353</v>
      </c>
    </row>
    <row r="46" ht="25" hidden="1" customHeight="1" outlineLevel="2" spans="1:22">
      <c r="A46" s="16">
        <v>6.1</v>
      </c>
      <c r="B46" s="10" t="s">
        <v>35</v>
      </c>
      <c r="C46" s="11">
        <f>2.9111+42.1547+216.1545+63.1229+17.7523+7.7008</f>
        <v>349.7963</v>
      </c>
      <c r="D46" s="11"/>
      <c r="E46" s="11"/>
      <c r="F46" s="11"/>
      <c r="G46" s="11">
        <f t="shared" si="12"/>
        <v>349.7963</v>
      </c>
      <c r="H46" s="11" t="s">
        <v>33</v>
      </c>
      <c r="I46" s="10" t="s">
        <v>19</v>
      </c>
      <c r="J46" s="21">
        <v>2145.4</v>
      </c>
      <c r="K46" s="21">
        <f t="shared" si="13"/>
        <v>1630.44793511699</v>
      </c>
      <c r="L46" s="10"/>
      <c r="M46" s="22"/>
      <c r="N46" s="19"/>
      <c r="O46" s="19"/>
      <c r="P46" s="19"/>
      <c r="Q46" s="22"/>
      <c r="R46" s="22"/>
      <c r="S46" s="22"/>
      <c r="T46" s="31"/>
      <c r="U46" s="31"/>
      <c r="V46" s="31"/>
    </row>
    <row r="47" ht="25" hidden="1" customHeight="1" outlineLevel="2" spans="1:22">
      <c r="A47" s="16">
        <v>6.2</v>
      </c>
      <c r="B47" s="10" t="s">
        <v>36</v>
      </c>
      <c r="C47" s="11">
        <f>693.918-C46</f>
        <v>344.1217</v>
      </c>
      <c r="D47" s="11"/>
      <c r="E47" s="11"/>
      <c r="F47" s="11"/>
      <c r="G47" s="11">
        <f t="shared" si="12"/>
        <v>344.1217</v>
      </c>
      <c r="H47" s="11" t="s">
        <v>33</v>
      </c>
      <c r="I47" s="10" t="s">
        <v>19</v>
      </c>
      <c r="J47" s="21">
        <v>2145.4</v>
      </c>
      <c r="K47" s="21">
        <f t="shared" si="13"/>
        <v>1603.99785587769</v>
      </c>
      <c r="L47" s="10"/>
      <c r="M47" s="22"/>
      <c r="N47" s="19"/>
      <c r="O47" s="19"/>
      <c r="P47" s="19"/>
      <c r="Q47" s="22"/>
      <c r="R47" s="22"/>
      <c r="S47" s="22"/>
      <c r="T47" s="31"/>
      <c r="U47" s="31"/>
      <c r="V47" s="31"/>
    </row>
    <row r="48" ht="25" hidden="1" customHeight="1" outlineLevel="2" spans="1:22">
      <c r="A48" s="16">
        <v>6.3</v>
      </c>
      <c r="B48" s="10" t="s">
        <v>37</v>
      </c>
      <c r="C48" s="11"/>
      <c r="D48" s="11">
        <f>52.495-E48</f>
        <v>33.2746</v>
      </c>
      <c r="E48" s="11">
        <v>19.2204</v>
      </c>
      <c r="F48" s="11"/>
      <c r="G48" s="11">
        <f t="shared" si="12"/>
        <v>52.495</v>
      </c>
      <c r="H48" s="11" t="s">
        <v>33</v>
      </c>
      <c r="I48" s="10" t="s">
        <v>19</v>
      </c>
      <c r="J48" s="21">
        <v>2145.4</v>
      </c>
      <c r="K48" s="21">
        <f t="shared" si="13"/>
        <v>244.68630558404</v>
      </c>
      <c r="L48" s="10"/>
      <c r="M48" s="22"/>
      <c r="N48" s="19"/>
      <c r="O48" s="19"/>
      <c r="P48" s="19"/>
      <c r="Q48" s="22"/>
      <c r="R48" s="22"/>
      <c r="S48" s="22"/>
      <c r="T48" s="31"/>
      <c r="U48" s="31"/>
      <c r="V48" s="31"/>
    </row>
    <row r="49" ht="25" hidden="1" customHeight="1" outlineLevel="2" spans="1:22">
      <c r="A49" s="16">
        <v>6.4</v>
      </c>
      <c r="B49" s="10" t="s">
        <v>38</v>
      </c>
      <c r="C49" s="11"/>
      <c r="D49" s="11">
        <f>52.8829-E49</f>
        <v>51.8829</v>
      </c>
      <c r="E49" s="11">
        <v>1</v>
      </c>
      <c r="F49" s="11"/>
      <c r="G49" s="11">
        <f t="shared" si="12"/>
        <v>52.8829</v>
      </c>
      <c r="H49" s="11" t="s">
        <v>33</v>
      </c>
      <c r="I49" s="10" t="s">
        <v>19</v>
      </c>
      <c r="J49" s="21">
        <v>2145.4</v>
      </c>
      <c r="K49" s="21">
        <f t="shared" si="13"/>
        <v>246.494360026102</v>
      </c>
      <c r="L49" s="10"/>
      <c r="M49" s="22"/>
      <c r="N49" s="19"/>
      <c r="O49" s="19"/>
      <c r="P49" s="19"/>
      <c r="Q49" s="22"/>
      <c r="R49" s="22"/>
      <c r="S49" s="22"/>
      <c r="T49" s="31"/>
      <c r="U49" s="31"/>
      <c r="V49" s="31"/>
    </row>
    <row r="50" ht="25" hidden="1" customHeight="1" outlineLevel="2" spans="1:22">
      <c r="A50" s="16">
        <v>6.5</v>
      </c>
      <c r="B50" s="10" t="s">
        <v>39</v>
      </c>
      <c r="C50" s="11"/>
      <c r="D50" s="11">
        <f>13.8814-E50</f>
        <v>10.1368</v>
      </c>
      <c r="E50" s="11">
        <v>3.7446</v>
      </c>
      <c r="F50" s="11"/>
      <c r="G50" s="11">
        <f t="shared" si="12"/>
        <v>13.8814</v>
      </c>
      <c r="H50" s="11" t="s">
        <v>33</v>
      </c>
      <c r="I50" s="10" t="s">
        <v>19</v>
      </c>
      <c r="J50" s="21">
        <v>2145.4</v>
      </c>
      <c r="K50" s="21">
        <f t="shared" si="13"/>
        <v>64.7030856716696</v>
      </c>
      <c r="L50" s="10"/>
      <c r="M50" s="22"/>
      <c r="N50" s="19"/>
      <c r="O50" s="19"/>
      <c r="P50" s="19"/>
      <c r="Q50" s="22"/>
      <c r="R50" s="22"/>
      <c r="S50" s="22"/>
      <c r="T50" s="31"/>
      <c r="U50" s="31"/>
      <c r="V50" s="31"/>
    </row>
    <row r="51" ht="25" hidden="1" customHeight="1" outlineLevel="2" spans="1:22">
      <c r="A51" s="16">
        <v>6.6</v>
      </c>
      <c r="B51" s="10" t="s">
        <v>40</v>
      </c>
      <c r="C51" s="11"/>
      <c r="D51" s="11">
        <f>5.89-E51</f>
        <v>5.79</v>
      </c>
      <c r="E51" s="11">
        <v>0.1</v>
      </c>
      <c r="F51" s="11"/>
      <c r="G51" s="11">
        <f t="shared" si="12"/>
        <v>5.89</v>
      </c>
      <c r="H51" s="11" t="s">
        <v>33</v>
      </c>
      <c r="I51" s="10" t="s">
        <v>19</v>
      </c>
      <c r="J51" s="21">
        <v>2145.4</v>
      </c>
      <c r="K51" s="21">
        <f t="shared" si="13"/>
        <v>27.4540878157919</v>
      </c>
      <c r="L51" s="10"/>
      <c r="M51" s="22"/>
      <c r="N51" s="19"/>
      <c r="O51" s="19"/>
      <c r="P51" s="19"/>
      <c r="Q51" s="22"/>
      <c r="R51" s="22"/>
      <c r="S51" s="22"/>
      <c r="T51" s="31"/>
      <c r="U51" s="31"/>
      <c r="V51" s="31"/>
    </row>
    <row r="52" ht="25" hidden="1" customHeight="1" outlineLevel="2" spans="1:22">
      <c r="A52" s="16">
        <v>6.7</v>
      </c>
      <c r="B52" s="10" t="s">
        <v>42</v>
      </c>
      <c r="C52" s="11"/>
      <c r="D52" s="11">
        <f>6.2331+15.3603</f>
        <v>21.5934</v>
      </c>
      <c r="E52" s="11"/>
      <c r="F52" s="11"/>
      <c r="G52" s="11">
        <f t="shared" si="12"/>
        <v>21.5934</v>
      </c>
      <c r="H52" s="11" t="s">
        <v>33</v>
      </c>
      <c r="I52" s="10" t="s">
        <v>19</v>
      </c>
      <c r="J52" s="21">
        <v>2145.4</v>
      </c>
      <c r="K52" s="21">
        <f t="shared" si="13"/>
        <v>100.649762282092</v>
      </c>
      <c r="L52" s="10"/>
      <c r="M52" s="22"/>
      <c r="N52" s="19"/>
      <c r="O52" s="19"/>
      <c r="P52" s="19"/>
      <c r="Q52" s="22"/>
      <c r="R52" s="22"/>
      <c r="S52" s="22"/>
      <c r="T52" s="31"/>
      <c r="U52" s="31"/>
      <c r="V52" s="31"/>
    </row>
    <row r="53" ht="25" hidden="1" customHeight="1" outlineLevel="2" spans="1:22">
      <c r="A53" s="16">
        <v>6.8</v>
      </c>
      <c r="B53" s="10" t="s">
        <v>43</v>
      </c>
      <c r="C53" s="11"/>
      <c r="D53" s="11">
        <v>4.0432</v>
      </c>
      <c r="E53" s="11"/>
      <c r="F53" s="11"/>
      <c r="G53" s="11">
        <f t="shared" si="12"/>
        <v>4.0432</v>
      </c>
      <c r="H53" s="11" t="s">
        <v>33</v>
      </c>
      <c r="I53" s="10" t="s">
        <v>19</v>
      </c>
      <c r="J53" s="21">
        <v>2145.4</v>
      </c>
      <c r="K53" s="21">
        <f t="shared" si="13"/>
        <v>18.8459028619372</v>
      </c>
      <c r="L53" s="10"/>
      <c r="M53" s="22"/>
      <c r="N53" s="19"/>
      <c r="O53" s="19"/>
      <c r="P53" s="19"/>
      <c r="Q53" s="22"/>
      <c r="R53" s="22"/>
      <c r="S53" s="22"/>
      <c r="T53" s="31"/>
      <c r="U53" s="31"/>
      <c r="V53" s="31"/>
    </row>
    <row r="54" ht="25" customHeight="1" outlineLevel="1" collapsed="1" spans="1:22">
      <c r="A54" s="14">
        <v>7</v>
      </c>
      <c r="B54" s="10" t="s">
        <v>48</v>
      </c>
      <c r="C54" s="11">
        <f>SUM(C55:C62)</f>
        <v>1447.073</v>
      </c>
      <c r="D54" s="11">
        <f>SUM(D55:D62)</f>
        <v>316.7428</v>
      </c>
      <c r="E54" s="11">
        <f>SUM(E55:E62)</f>
        <v>52.9264</v>
      </c>
      <c r="F54" s="11"/>
      <c r="G54" s="11">
        <f t="shared" si="12"/>
        <v>1816.7422</v>
      </c>
      <c r="H54" s="11" t="s">
        <v>33</v>
      </c>
      <c r="I54" s="10" t="s">
        <v>19</v>
      </c>
      <c r="J54" s="21">
        <v>4727</v>
      </c>
      <c r="K54" s="21">
        <f t="shared" si="13"/>
        <v>3843.33023059023</v>
      </c>
      <c r="L54" s="10"/>
      <c r="M54" s="22"/>
      <c r="N54" s="19">
        <f>C54/J54*10000</f>
        <v>3061.29257457161</v>
      </c>
      <c r="O54" s="19">
        <f>(D54+E54)/J54*10000</f>
        <v>782.037656018617</v>
      </c>
      <c r="P54" s="19">
        <f>N54+O54</f>
        <v>3843.33023059023</v>
      </c>
      <c r="Q54" s="22"/>
      <c r="R54" s="22"/>
      <c r="S54" s="22"/>
      <c r="T54" s="31"/>
      <c r="U54" s="31"/>
      <c r="V54" s="31"/>
    </row>
    <row r="55" customFormat="1" ht="25" hidden="1" customHeight="1" outlineLevel="2" spans="1:22">
      <c r="A55" s="16">
        <v>7.1</v>
      </c>
      <c r="B55" s="10" t="s">
        <v>35</v>
      </c>
      <c r="C55" s="11">
        <f>7.2899+89.4714+448.2364+136.6749+42.2395+14.6585</f>
        <v>738.5706</v>
      </c>
      <c r="D55" s="11"/>
      <c r="E55" s="11"/>
      <c r="F55" s="11"/>
      <c r="G55" s="11">
        <f t="shared" ref="G55:G62" si="14">SUM(C55:F55)</f>
        <v>738.5706</v>
      </c>
      <c r="H55" s="11" t="s">
        <v>33</v>
      </c>
      <c r="I55" s="10" t="s">
        <v>19</v>
      </c>
      <c r="J55" s="21">
        <v>4727</v>
      </c>
      <c r="K55" s="21">
        <f t="shared" ref="K55:K62" si="15">G55/J55*10000</f>
        <v>1562.45102602073</v>
      </c>
      <c r="L55" s="10"/>
      <c r="M55" s="22"/>
      <c r="N55" s="19"/>
      <c r="O55" s="19"/>
      <c r="P55" s="19"/>
      <c r="Q55" s="22"/>
      <c r="R55" s="22"/>
      <c r="S55" s="22"/>
      <c r="T55" s="31"/>
      <c r="U55" s="31"/>
      <c r="V55" s="31"/>
    </row>
    <row r="56" customFormat="1" ht="25" hidden="1" customHeight="1" outlineLevel="2" spans="1:22">
      <c r="A56" s="16">
        <v>7.2</v>
      </c>
      <c r="B56" s="10" t="s">
        <v>36</v>
      </c>
      <c r="C56" s="11">
        <f>1447.073-C55</f>
        <v>708.5024</v>
      </c>
      <c r="D56" s="11"/>
      <c r="E56" s="11"/>
      <c r="F56" s="11"/>
      <c r="G56" s="11">
        <f t="shared" si="14"/>
        <v>708.5024</v>
      </c>
      <c r="H56" s="11" t="s">
        <v>33</v>
      </c>
      <c r="I56" s="10" t="s">
        <v>19</v>
      </c>
      <c r="J56" s="21">
        <v>4727</v>
      </c>
      <c r="K56" s="21">
        <f t="shared" si="15"/>
        <v>1498.84154855088</v>
      </c>
      <c r="L56" s="10"/>
      <c r="M56" s="22"/>
      <c r="N56" s="19"/>
      <c r="O56" s="19"/>
      <c r="P56" s="19"/>
      <c r="Q56" s="22"/>
      <c r="R56" s="22"/>
      <c r="S56" s="22"/>
      <c r="T56" s="31"/>
      <c r="U56" s="31"/>
      <c r="V56" s="31"/>
    </row>
    <row r="57" customFormat="1" ht="25" hidden="1" customHeight="1" outlineLevel="2" spans="1:22">
      <c r="A57" s="16">
        <v>7.3</v>
      </c>
      <c r="B57" s="10" t="s">
        <v>37</v>
      </c>
      <c r="C57" s="11"/>
      <c r="D57" s="11">
        <f>129.4734-E57</f>
        <v>83.6698</v>
      </c>
      <c r="E57" s="11">
        <v>45.8036</v>
      </c>
      <c r="F57" s="11"/>
      <c r="G57" s="11">
        <f t="shared" si="14"/>
        <v>129.4734</v>
      </c>
      <c r="H57" s="11" t="s">
        <v>33</v>
      </c>
      <c r="I57" s="10" t="s">
        <v>19</v>
      </c>
      <c r="J57" s="21">
        <v>4727</v>
      </c>
      <c r="K57" s="21">
        <f t="shared" si="15"/>
        <v>273.901840490798</v>
      </c>
      <c r="L57" s="10"/>
      <c r="M57" s="22"/>
      <c r="N57" s="19"/>
      <c r="O57" s="19"/>
      <c r="P57" s="19"/>
      <c r="Q57" s="22"/>
      <c r="R57" s="22"/>
      <c r="S57" s="22"/>
      <c r="T57" s="31"/>
      <c r="U57" s="31"/>
      <c r="V57" s="31"/>
    </row>
    <row r="58" customFormat="1" ht="25" hidden="1" customHeight="1" outlineLevel="2" spans="1:22">
      <c r="A58" s="16">
        <v>7.4</v>
      </c>
      <c r="B58" s="10" t="s">
        <v>38</v>
      </c>
      <c r="C58" s="11"/>
      <c r="D58" s="11">
        <f>134.873-E58</f>
        <v>133.673</v>
      </c>
      <c r="E58" s="11">
        <v>1.2</v>
      </c>
      <c r="F58" s="11"/>
      <c r="G58" s="11">
        <f t="shared" si="14"/>
        <v>134.873</v>
      </c>
      <c r="H58" s="11" t="s">
        <v>33</v>
      </c>
      <c r="I58" s="10" t="s">
        <v>19</v>
      </c>
      <c r="J58" s="21">
        <v>4727</v>
      </c>
      <c r="K58" s="21">
        <f t="shared" si="15"/>
        <v>285.3247302729</v>
      </c>
      <c r="L58" s="10"/>
      <c r="M58" s="22"/>
      <c r="N58" s="19"/>
      <c r="O58" s="19"/>
      <c r="P58" s="19"/>
      <c r="Q58" s="22"/>
      <c r="R58" s="22"/>
      <c r="S58" s="22"/>
      <c r="T58" s="31"/>
      <c r="U58" s="31"/>
      <c r="V58" s="31"/>
    </row>
    <row r="59" customFormat="1" ht="25" hidden="1" customHeight="1" outlineLevel="2" spans="1:22">
      <c r="A59" s="16">
        <v>7.5</v>
      </c>
      <c r="B59" s="10" t="s">
        <v>39</v>
      </c>
      <c r="C59" s="11"/>
      <c r="D59" s="11">
        <f>41.162-E59</f>
        <v>36.079</v>
      </c>
      <c r="E59" s="11">
        <v>5.083</v>
      </c>
      <c r="F59" s="11"/>
      <c r="G59" s="11">
        <f t="shared" si="14"/>
        <v>41.162</v>
      </c>
      <c r="H59" s="11" t="s">
        <v>33</v>
      </c>
      <c r="I59" s="10" t="s">
        <v>19</v>
      </c>
      <c r="J59" s="21">
        <v>4727</v>
      </c>
      <c r="K59" s="21">
        <f t="shared" si="15"/>
        <v>87.0784852972287</v>
      </c>
      <c r="L59" s="10"/>
      <c r="M59" s="22"/>
      <c r="N59" s="19"/>
      <c r="O59" s="19"/>
      <c r="P59" s="19"/>
      <c r="Q59" s="22"/>
      <c r="R59" s="22"/>
      <c r="S59" s="22"/>
      <c r="T59" s="31"/>
      <c r="U59" s="31"/>
      <c r="V59" s="31"/>
    </row>
    <row r="60" customFormat="1" ht="25" hidden="1" customHeight="1" outlineLevel="2" spans="1:22">
      <c r="A60" s="16">
        <v>7.6</v>
      </c>
      <c r="B60" s="10" t="s">
        <v>40</v>
      </c>
      <c r="C60" s="11"/>
      <c r="D60" s="11">
        <f>15.1047-E60</f>
        <v>14.2649</v>
      </c>
      <c r="E60" s="11">
        <v>0.8398</v>
      </c>
      <c r="F60" s="11"/>
      <c r="G60" s="11">
        <f t="shared" si="14"/>
        <v>15.1047</v>
      </c>
      <c r="H60" s="11" t="s">
        <v>33</v>
      </c>
      <c r="I60" s="10" t="s">
        <v>19</v>
      </c>
      <c r="J60" s="21">
        <v>4727</v>
      </c>
      <c r="K60" s="21">
        <f t="shared" si="15"/>
        <v>31.9540935053945</v>
      </c>
      <c r="L60" s="10"/>
      <c r="M60" s="22"/>
      <c r="N60" s="19"/>
      <c r="O60" s="19"/>
      <c r="P60" s="19"/>
      <c r="Q60" s="22"/>
      <c r="R60" s="22"/>
      <c r="S60" s="22"/>
      <c r="T60" s="31"/>
      <c r="U60" s="31"/>
      <c r="V60" s="31"/>
    </row>
    <row r="61" customFormat="1" ht="25" hidden="1" customHeight="1" outlineLevel="2" spans="1:22">
      <c r="A61" s="16">
        <v>7.7</v>
      </c>
      <c r="B61" s="10" t="s">
        <v>42</v>
      </c>
      <c r="C61" s="11"/>
      <c r="D61" s="11">
        <f>11.0723+33.5891</f>
        <v>44.6614</v>
      </c>
      <c r="E61" s="11"/>
      <c r="F61" s="11"/>
      <c r="G61" s="11">
        <f t="shared" si="14"/>
        <v>44.6614</v>
      </c>
      <c r="H61" s="11" t="s">
        <v>33</v>
      </c>
      <c r="I61" s="10" t="s">
        <v>19</v>
      </c>
      <c r="J61" s="21">
        <v>4727</v>
      </c>
      <c r="K61" s="21">
        <f t="shared" si="15"/>
        <v>94.4814893166913</v>
      </c>
      <c r="L61" s="10"/>
      <c r="M61" s="22"/>
      <c r="N61" s="19"/>
      <c r="O61" s="19"/>
      <c r="P61" s="19"/>
      <c r="Q61" s="22"/>
      <c r="R61" s="22"/>
      <c r="S61" s="22"/>
      <c r="T61" s="31"/>
      <c r="U61" s="31"/>
      <c r="V61" s="31"/>
    </row>
    <row r="62" customFormat="1" ht="25" hidden="1" customHeight="1" outlineLevel="2" spans="1:22">
      <c r="A62" s="16">
        <v>7.8</v>
      </c>
      <c r="B62" s="10" t="s">
        <v>43</v>
      </c>
      <c r="C62" s="11"/>
      <c r="D62" s="11">
        <v>4.3947</v>
      </c>
      <c r="E62" s="11"/>
      <c r="F62" s="11"/>
      <c r="G62" s="11">
        <f t="shared" si="14"/>
        <v>4.3947</v>
      </c>
      <c r="H62" s="11" t="s">
        <v>33</v>
      </c>
      <c r="I62" s="10" t="s">
        <v>19</v>
      </c>
      <c r="J62" s="21">
        <v>4727</v>
      </c>
      <c r="K62" s="21">
        <f t="shared" si="15"/>
        <v>9.29701713560398</v>
      </c>
      <c r="L62" s="10"/>
      <c r="M62" s="22"/>
      <c r="N62" s="19"/>
      <c r="O62" s="19"/>
      <c r="P62" s="19"/>
      <c r="Q62" s="22"/>
      <c r="R62" s="22"/>
      <c r="S62" s="22"/>
      <c r="T62" s="31"/>
      <c r="U62" s="31"/>
      <c r="V62" s="31"/>
    </row>
    <row r="63" ht="25" customHeight="1" outlineLevel="1" collapsed="1" spans="1:22">
      <c r="A63" s="14">
        <v>8</v>
      </c>
      <c r="B63" s="10" t="s">
        <v>49</v>
      </c>
      <c r="C63" s="11">
        <f>SUM(C64:C71)</f>
        <v>694.2735</v>
      </c>
      <c r="D63" s="11">
        <f>SUM(D64:D71)</f>
        <v>144.4872</v>
      </c>
      <c r="E63" s="11">
        <f>SUM(E64:E71)</f>
        <v>17.7075</v>
      </c>
      <c r="F63" s="11"/>
      <c r="G63" s="11">
        <f t="shared" ref="G63:G71" si="16">SUM(C63:F63)</f>
        <v>856.4682</v>
      </c>
      <c r="H63" s="11" t="s">
        <v>33</v>
      </c>
      <c r="I63" s="10" t="s">
        <v>19</v>
      </c>
      <c r="J63" s="21">
        <v>2140.4</v>
      </c>
      <c r="K63" s="21">
        <f t="shared" ref="K63:K71" si="17">G63/J63*10000</f>
        <v>4001.43991777238</v>
      </c>
      <c r="L63" s="10"/>
      <c r="M63" s="22"/>
      <c r="N63" s="19">
        <f>C63/J63*10000</f>
        <v>3243.66239955149</v>
      </c>
      <c r="O63" s="19">
        <f>(D63+E63)/J63*10000</f>
        <v>757.777518220893</v>
      </c>
      <c r="P63" s="19">
        <f>N63+O63</f>
        <v>4001.43991777238</v>
      </c>
      <c r="Q63" s="22"/>
      <c r="R63" s="22"/>
      <c r="S63" s="22">
        <f>Q63+R63</f>
        <v>0</v>
      </c>
      <c r="T63" s="31"/>
      <c r="U63" s="31"/>
      <c r="V63" s="31"/>
    </row>
    <row r="64" ht="25" hidden="1" customHeight="1" outlineLevel="2" spans="1:22">
      <c r="A64" s="16">
        <v>8.1</v>
      </c>
      <c r="B64" s="10" t="s">
        <v>35</v>
      </c>
      <c r="C64" s="11">
        <f>2.9111+42.1547+216.1545+63.1229+17.7523+7.7008</f>
        <v>349.7963</v>
      </c>
      <c r="D64" s="11"/>
      <c r="E64" s="11"/>
      <c r="F64" s="11"/>
      <c r="G64" s="11">
        <f t="shared" si="16"/>
        <v>349.7963</v>
      </c>
      <c r="H64" s="11" t="s">
        <v>33</v>
      </c>
      <c r="I64" s="10" t="s">
        <v>19</v>
      </c>
      <c r="J64" s="21">
        <v>2145.4</v>
      </c>
      <c r="K64" s="21">
        <f t="shared" si="17"/>
        <v>1630.44793511699</v>
      </c>
      <c r="L64" s="10"/>
      <c r="M64" s="22"/>
      <c r="N64" s="19"/>
      <c r="O64" s="19"/>
      <c r="P64" s="19"/>
      <c r="Q64" s="22"/>
      <c r="R64" s="22"/>
      <c r="S64" s="22"/>
      <c r="T64" s="31"/>
      <c r="U64" s="31"/>
      <c r="V64" s="31"/>
    </row>
    <row r="65" ht="25" hidden="1" customHeight="1" outlineLevel="2" spans="1:22">
      <c r="A65" s="16">
        <v>8.2</v>
      </c>
      <c r="B65" s="10" t="s">
        <v>36</v>
      </c>
      <c r="C65" s="11">
        <f>694.2735-C64</f>
        <v>344.4772</v>
      </c>
      <c r="D65" s="11"/>
      <c r="E65" s="11"/>
      <c r="F65" s="11"/>
      <c r="G65" s="11">
        <f t="shared" si="16"/>
        <v>344.4772</v>
      </c>
      <c r="H65" s="11" t="s">
        <v>33</v>
      </c>
      <c r="I65" s="10" t="s">
        <v>19</v>
      </c>
      <c r="J65" s="21">
        <v>2145.4</v>
      </c>
      <c r="K65" s="21">
        <f t="shared" si="17"/>
        <v>1605.65488953109</v>
      </c>
      <c r="L65" s="10"/>
      <c r="M65" s="22"/>
      <c r="N65" s="19"/>
      <c r="O65" s="19"/>
      <c r="P65" s="19"/>
      <c r="Q65" s="22"/>
      <c r="R65" s="22"/>
      <c r="S65" s="22"/>
      <c r="T65" s="31"/>
      <c r="U65" s="31"/>
      <c r="V65" s="31"/>
    </row>
    <row r="66" ht="25" hidden="1" customHeight="1" outlineLevel="2" spans="1:22">
      <c r="A66" s="16">
        <v>8.3</v>
      </c>
      <c r="B66" s="10" t="s">
        <v>37</v>
      </c>
      <c r="C66" s="11"/>
      <c r="D66" s="11">
        <f>51.4057-E66</f>
        <v>39.1607</v>
      </c>
      <c r="E66" s="11">
        <v>12.245</v>
      </c>
      <c r="F66" s="11"/>
      <c r="G66" s="11">
        <f t="shared" si="16"/>
        <v>51.4057</v>
      </c>
      <c r="H66" s="11" t="s">
        <v>33</v>
      </c>
      <c r="I66" s="10" t="s">
        <v>19</v>
      </c>
      <c r="J66" s="21">
        <v>2145.4</v>
      </c>
      <c r="K66" s="21">
        <f t="shared" si="17"/>
        <v>239.608930735527</v>
      </c>
      <c r="L66" s="10"/>
      <c r="M66" s="22"/>
      <c r="N66" s="19"/>
      <c r="O66" s="19"/>
      <c r="P66" s="19"/>
      <c r="Q66" s="22"/>
      <c r="R66" s="22"/>
      <c r="S66" s="22"/>
      <c r="T66" s="31"/>
      <c r="U66" s="31"/>
      <c r="V66" s="31"/>
    </row>
    <row r="67" ht="25" hidden="1" customHeight="1" outlineLevel="2" spans="1:22">
      <c r="A67" s="16">
        <v>8.4</v>
      </c>
      <c r="B67" s="10" t="s">
        <v>38</v>
      </c>
      <c r="C67" s="11"/>
      <c r="D67" s="11">
        <f>51.1204-E67</f>
        <v>49.9204</v>
      </c>
      <c r="E67" s="11">
        <v>1.2</v>
      </c>
      <c r="F67" s="11"/>
      <c r="G67" s="11">
        <f t="shared" si="16"/>
        <v>51.1204</v>
      </c>
      <c r="H67" s="11" t="s">
        <v>33</v>
      </c>
      <c r="I67" s="10" t="s">
        <v>19</v>
      </c>
      <c r="J67" s="21">
        <v>2145.4</v>
      </c>
      <c r="K67" s="21">
        <f t="shared" si="17"/>
        <v>238.279108790901</v>
      </c>
      <c r="L67" s="10"/>
      <c r="M67" s="22"/>
      <c r="N67" s="19"/>
      <c r="O67" s="19"/>
      <c r="P67" s="19"/>
      <c r="Q67" s="22"/>
      <c r="R67" s="22"/>
      <c r="S67" s="22"/>
      <c r="T67" s="31"/>
      <c r="U67" s="31"/>
      <c r="V67" s="31"/>
    </row>
    <row r="68" ht="25" hidden="1" customHeight="1" outlineLevel="2" spans="1:22">
      <c r="A68" s="16">
        <v>8.5</v>
      </c>
      <c r="B68" s="10" t="s">
        <v>39</v>
      </c>
      <c r="C68" s="11"/>
      <c r="D68" s="11">
        <f>16.1955-E68</f>
        <v>12.7728</v>
      </c>
      <c r="E68" s="11">
        <v>3.4227</v>
      </c>
      <c r="F68" s="11"/>
      <c r="G68" s="11">
        <f t="shared" si="16"/>
        <v>16.1955</v>
      </c>
      <c r="H68" s="11" t="s">
        <v>33</v>
      </c>
      <c r="I68" s="10" t="s">
        <v>19</v>
      </c>
      <c r="J68" s="21">
        <v>2145.4</v>
      </c>
      <c r="K68" s="21">
        <f t="shared" si="17"/>
        <v>75.4894192225226</v>
      </c>
      <c r="L68" s="10"/>
      <c r="M68" s="22"/>
      <c r="N68" s="19"/>
      <c r="O68" s="19"/>
      <c r="P68" s="19"/>
      <c r="Q68" s="22"/>
      <c r="R68" s="22"/>
      <c r="S68" s="22"/>
      <c r="T68" s="31"/>
      <c r="U68" s="31"/>
      <c r="V68" s="31"/>
    </row>
    <row r="69" ht="25" hidden="1" customHeight="1" outlineLevel="2" spans="1:22">
      <c r="A69" s="16">
        <v>8.6</v>
      </c>
      <c r="B69" s="10" t="s">
        <v>40</v>
      </c>
      <c r="C69" s="11"/>
      <c r="D69" s="11">
        <f>17.6109-E69</f>
        <v>16.7711</v>
      </c>
      <c r="E69" s="11">
        <v>0.8398</v>
      </c>
      <c r="F69" s="11"/>
      <c r="G69" s="11">
        <f t="shared" si="16"/>
        <v>17.6109</v>
      </c>
      <c r="H69" s="11" t="s">
        <v>33</v>
      </c>
      <c r="I69" s="10" t="s">
        <v>19</v>
      </c>
      <c r="J69" s="21">
        <v>2145.4</v>
      </c>
      <c r="K69" s="21">
        <f t="shared" si="17"/>
        <v>82.0867903421273</v>
      </c>
      <c r="L69" s="10"/>
      <c r="M69" s="22"/>
      <c r="N69" s="19"/>
      <c r="O69" s="19"/>
      <c r="P69" s="19"/>
      <c r="Q69" s="22"/>
      <c r="R69" s="22"/>
      <c r="S69" s="22"/>
      <c r="T69" s="31"/>
      <c r="U69" s="31"/>
      <c r="V69" s="31"/>
    </row>
    <row r="70" ht="25" hidden="1" customHeight="1" outlineLevel="2" spans="1:22">
      <c r="A70" s="16">
        <v>8.7</v>
      </c>
      <c r="B70" s="10" t="s">
        <v>42</v>
      </c>
      <c r="C70" s="11"/>
      <c r="D70" s="11">
        <f>6.4454+14.5815</f>
        <v>21.0269</v>
      </c>
      <c r="E70" s="11"/>
      <c r="F70" s="11"/>
      <c r="G70" s="11">
        <f t="shared" si="16"/>
        <v>21.0269</v>
      </c>
      <c r="H70" s="11" t="s">
        <v>33</v>
      </c>
      <c r="I70" s="10" t="s">
        <v>19</v>
      </c>
      <c r="J70" s="21">
        <v>2145.4</v>
      </c>
      <c r="K70" s="21">
        <f t="shared" si="17"/>
        <v>98.0092290481961</v>
      </c>
      <c r="L70" s="10"/>
      <c r="M70" s="22"/>
      <c r="N70" s="19"/>
      <c r="O70" s="19"/>
      <c r="P70" s="19"/>
      <c r="Q70" s="22"/>
      <c r="R70" s="22"/>
      <c r="S70" s="22"/>
      <c r="T70" s="31"/>
      <c r="U70" s="31"/>
      <c r="V70" s="31"/>
    </row>
    <row r="71" ht="25" hidden="1" customHeight="1" outlineLevel="2" spans="1:22">
      <c r="A71" s="16">
        <v>8.8</v>
      </c>
      <c r="B71" s="10" t="s">
        <v>43</v>
      </c>
      <c r="C71" s="11"/>
      <c r="D71" s="11">
        <v>4.8353</v>
      </c>
      <c r="E71" s="11"/>
      <c r="F71" s="11"/>
      <c r="G71" s="11">
        <f t="shared" si="16"/>
        <v>4.8353</v>
      </c>
      <c r="H71" s="11" t="s">
        <v>33</v>
      </c>
      <c r="I71" s="10" t="s">
        <v>19</v>
      </c>
      <c r="J71" s="21">
        <v>2145.4</v>
      </c>
      <c r="K71" s="21">
        <f t="shared" si="17"/>
        <v>22.5379882539387</v>
      </c>
      <c r="L71" s="10"/>
      <c r="M71" s="22"/>
      <c r="N71" s="19"/>
      <c r="O71" s="19"/>
      <c r="P71" s="19"/>
      <c r="Q71" s="22"/>
      <c r="R71" s="22"/>
      <c r="S71" s="22"/>
      <c r="T71" s="31"/>
      <c r="U71" s="31"/>
      <c r="V71" s="31"/>
    </row>
    <row r="72" ht="25" customHeight="1" outlineLevel="1" collapsed="1" spans="1:22">
      <c r="A72" s="14">
        <v>9</v>
      </c>
      <c r="B72" s="10" t="s">
        <v>50</v>
      </c>
      <c r="C72" s="11">
        <f>SUM(C73:C80)</f>
        <v>2138.3086</v>
      </c>
      <c r="D72" s="11">
        <f>SUM(D73:D80)</f>
        <v>610.6229</v>
      </c>
      <c r="E72" s="11">
        <f>SUM(E73:E80)</f>
        <v>244.1884</v>
      </c>
      <c r="F72" s="11"/>
      <c r="G72" s="11">
        <f t="shared" ref="G72:G80" si="18">SUM(C72:F72)</f>
        <v>2993.1199</v>
      </c>
      <c r="H72" s="11" t="s">
        <v>33</v>
      </c>
      <c r="I72" s="10" t="s">
        <v>19</v>
      </c>
      <c r="J72" s="21">
        <v>7578.6</v>
      </c>
      <c r="K72" s="21">
        <f t="shared" ref="K72:K80" si="19">G72/J72*10000</f>
        <v>3949.43643944792</v>
      </c>
      <c r="L72" s="10"/>
      <c r="M72" s="22"/>
      <c r="N72" s="19">
        <f>C72/J72*10000</f>
        <v>2821.50872192753</v>
      </c>
      <c r="O72" s="19">
        <f>(D72+E72)/J72*10000</f>
        <v>1127.92771752039</v>
      </c>
      <c r="P72" s="19">
        <f>N72+O72</f>
        <v>3949.43643944792</v>
      </c>
      <c r="Q72" s="22">
        <f>150+1650+1300</f>
        <v>3100</v>
      </c>
      <c r="R72" s="22">
        <f>4180-Q72</f>
        <v>1080</v>
      </c>
      <c r="S72" s="22">
        <f>Q72+R72</f>
        <v>4180</v>
      </c>
      <c r="T72" s="31">
        <f>N72-Q72</f>
        <v>-278.491278072468</v>
      </c>
      <c r="U72" s="31">
        <f>O72-R72</f>
        <v>47.9277175203863</v>
      </c>
      <c r="V72" s="31">
        <f>P72-S72</f>
        <v>-230.563560552081</v>
      </c>
    </row>
    <row r="73" ht="25" hidden="1" customHeight="1" outlineLevel="2" spans="1:22">
      <c r="A73" s="16">
        <v>9.1</v>
      </c>
      <c r="B73" s="10" t="s">
        <v>35</v>
      </c>
      <c r="C73" s="11">
        <f>9.8442+142.3581+633.6798+255.8715+105.5734+17.5106</f>
        <v>1164.8376</v>
      </c>
      <c r="D73" s="11"/>
      <c r="E73" s="11"/>
      <c r="F73" s="11"/>
      <c r="G73" s="11">
        <f t="shared" si="18"/>
        <v>1164.8376</v>
      </c>
      <c r="H73" s="11" t="s">
        <v>33</v>
      </c>
      <c r="I73" s="10" t="s">
        <v>19</v>
      </c>
      <c r="J73" s="21">
        <v>7575</v>
      </c>
      <c r="K73" s="21">
        <f t="shared" si="19"/>
        <v>1537.73940594059</v>
      </c>
      <c r="L73" s="10"/>
      <c r="M73" s="22"/>
      <c r="N73" s="19"/>
      <c r="O73" s="19"/>
      <c r="P73" s="19"/>
      <c r="Q73" s="22"/>
      <c r="R73" s="22"/>
      <c r="S73" s="22"/>
      <c r="T73" s="31"/>
      <c r="U73" s="31"/>
      <c r="V73" s="31"/>
    </row>
    <row r="74" ht="25" hidden="1" customHeight="1" outlineLevel="2" spans="1:22">
      <c r="A74" s="16">
        <v>9.2</v>
      </c>
      <c r="B74" s="10" t="s">
        <v>36</v>
      </c>
      <c r="C74" s="11">
        <f>2138.3086-C73</f>
        <v>973.471</v>
      </c>
      <c r="D74" s="11"/>
      <c r="E74" s="11"/>
      <c r="F74" s="11"/>
      <c r="G74" s="11">
        <f t="shared" si="18"/>
        <v>973.471</v>
      </c>
      <c r="H74" s="11" t="s">
        <v>33</v>
      </c>
      <c r="I74" s="10" t="s">
        <v>19</v>
      </c>
      <c r="J74" s="21">
        <v>7575</v>
      </c>
      <c r="K74" s="21">
        <f t="shared" si="19"/>
        <v>1285.1102310231</v>
      </c>
      <c r="L74" s="10"/>
      <c r="M74" s="22"/>
      <c r="N74" s="19"/>
      <c r="O74" s="19"/>
      <c r="P74" s="19"/>
      <c r="Q74" s="22"/>
      <c r="R74" s="22"/>
      <c r="S74" s="22"/>
      <c r="T74" s="31"/>
      <c r="U74" s="31"/>
      <c r="V74" s="31"/>
    </row>
    <row r="75" ht="25" hidden="1" customHeight="1" outlineLevel="2" spans="1:22">
      <c r="A75" s="16">
        <v>9.3</v>
      </c>
      <c r="B75" s="10" t="s">
        <v>37</v>
      </c>
      <c r="C75" s="11"/>
      <c r="D75" s="11">
        <v>43.8875</v>
      </c>
      <c r="E75" s="11"/>
      <c r="F75" s="11"/>
      <c r="G75" s="11">
        <f t="shared" si="18"/>
        <v>43.8875</v>
      </c>
      <c r="H75" s="11" t="s">
        <v>33</v>
      </c>
      <c r="I75" s="10" t="s">
        <v>19</v>
      </c>
      <c r="J75" s="21">
        <v>7575</v>
      </c>
      <c r="K75" s="21">
        <f t="shared" si="19"/>
        <v>57.9372937293729</v>
      </c>
      <c r="L75" s="10"/>
      <c r="M75" s="22"/>
      <c r="N75" s="19"/>
      <c r="O75" s="19"/>
      <c r="P75" s="19"/>
      <c r="Q75" s="22"/>
      <c r="R75" s="22"/>
      <c r="S75" s="22"/>
      <c r="T75" s="31"/>
      <c r="U75" s="31"/>
      <c r="V75" s="31"/>
    </row>
    <row r="76" ht="25" hidden="1" customHeight="1" outlineLevel="2" spans="1:22">
      <c r="A76" s="16">
        <v>9.4</v>
      </c>
      <c r="B76" s="10" t="s">
        <v>38</v>
      </c>
      <c r="C76" s="11"/>
      <c r="D76" s="11">
        <f>181.6281-E76</f>
        <v>180.4281</v>
      </c>
      <c r="E76" s="11">
        <v>1.2</v>
      </c>
      <c r="F76" s="11"/>
      <c r="G76" s="11">
        <f t="shared" si="18"/>
        <v>181.6281</v>
      </c>
      <c r="H76" s="11" t="s">
        <v>33</v>
      </c>
      <c r="I76" s="10" t="s">
        <v>19</v>
      </c>
      <c r="J76" s="21">
        <v>7575</v>
      </c>
      <c r="K76" s="21">
        <f t="shared" si="19"/>
        <v>239.773069306931</v>
      </c>
      <c r="L76" s="10"/>
      <c r="M76" s="22"/>
      <c r="N76" s="19"/>
      <c r="O76" s="19"/>
      <c r="P76" s="19"/>
      <c r="Q76" s="22"/>
      <c r="R76" s="22"/>
      <c r="S76" s="22"/>
      <c r="T76" s="31"/>
      <c r="U76" s="31"/>
      <c r="V76" s="31"/>
    </row>
    <row r="77" ht="25" hidden="1" customHeight="1" outlineLevel="2" spans="1:22">
      <c r="A77" s="16">
        <v>9.5</v>
      </c>
      <c r="B77" s="10" t="s">
        <v>39</v>
      </c>
      <c r="C77" s="11"/>
      <c r="D77" s="11">
        <f>51.6184-E77</f>
        <v>34.7786</v>
      </c>
      <c r="E77" s="11">
        <v>16.8398</v>
      </c>
      <c r="F77" s="11"/>
      <c r="G77" s="11">
        <f t="shared" si="18"/>
        <v>51.6184</v>
      </c>
      <c r="H77" s="11" t="s">
        <v>33</v>
      </c>
      <c r="I77" s="10" t="s">
        <v>19</v>
      </c>
      <c r="J77" s="21">
        <v>7575</v>
      </c>
      <c r="K77" s="21">
        <f t="shared" si="19"/>
        <v>68.143102310231</v>
      </c>
      <c r="L77" s="10"/>
      <c r="M77" s="22"/>
      <c r="N77" s="19"/>
      <c r="O77" s="19"/>
      <c r="P77" s="19"/>
      <c r="Q77" s="22"/>
      <c r="R77" s="22"/>
      <c r="S77" s="22"/>
      <c r="T77" s="31"/>
      <c r="U77" s="31"/>
      <c r="V77" s="31"/>
    </row>
    <row r="78" ht="25" hidden="1" customHeight="1" outlineLevel="2" spans="1:22">
      <c r="A78" s="16">
        <v>9.6</v>
      </c>
      <c r="B78" s="10" t="s">
        <v>40</v>
      </c>
      <c r="C78" s="11"/>
      <c r="D78" s="11">
        <f>409.6779-E78</f>
        <v>183.5293</v>
      </c>
      <c r="E78" s="11">
        <v>226.1486</v>
      </c>
      <c r="F78" s="11"/>
      <c r="G78" s="11">
        <f t="shared" si="18"/>
        <v>409.6779</v>
      </c>
      <c r="H78" s="11" t="s">
        <v>33</v>
      </c>
      <c r="I78" s="10" t="s">
        <v>19</v>
      </c>
      <c r="J78" s="21">
        <v>7575</v>
      </c>
      <c r="K78" s="21">
        <f t="shared" si="19"/>
        <v>540.828910891089</v>
      </c>
      <c r="L78" s="10"/>
      <c r="M78" s="22"/>
      <c r="N78" s="19"/>
      <c r="O78" s="19"/>
      <c r="P78" s="19"/>
      <c r="Q78" s="22"/>
      <c r="R78" s="22"/>
      <c r="S78" s="22"/>
      <c r="T78" s="31"/>
      <c r="U78" s="31"/>
      <c r="V78" s="31"/>
    </row>
    <row r="79" ht="25" hidden="1" customHeight="1" outlineLevel="2" spans="1:22">
      <c r="A79" s="16">
        <v>9.7</v>
      </c>
      <c r="B79" s="10" t="s">
        <v>42</v>
      </c>
      <c r="C79" s="11"/>
      <c r="D79" s="11">
        <f>58.6398+38.4337</f>
        <v>97.0735</v>
      </c>
      <c r="E79" s="11"/>
      <c r="F79" s="11"/>
      <c r="G79" s="11">
        <f t="shared" si="18"/>
        <v>97.0735</v>
      </c>
      <c r="H79" s="11" t="s">
        <v>33</v>
      </c>
      <c r="I79" s="10" t="s">
        <v>19</v>
      </c>
      <c r="J79" s="21">
        <v>7575</v>
      </c>
      <c r="K79" s="21">
        <f t="shared" si="19"/>
        <v>128.149834983498</v>
      </c>
      <c r="L79" s="10"/>
      <c r="M79" s="22"/>
      <c r="N79" s="47"/>
      <c r="O79" s="19"/>
      <c r="P79" s="19"/>
      <c r="Q79" s="22"/>
      <c r="R79" s="22"/>
      <c r="S79" s="22"/>
      <c r="T79" s="31"/>
      <c r="U79" s="31"/>
      <c r="V79" s="31"/>
    </row>
    <row r="80" ht="25" hidden="1" customHeight="1" outlineLevel="2" spans="1:22">
      <c r="A80" s="16">
        <v>9.8</v>
      </c>
      <c r="B80" s="10" t="s">
        <v>43</v>
      </c>
      <c r="C80" s="11"/>
      <c r="D80" s="11">
        <v>70.9259</v>
      </c>
      <c r="E80" s="11"/>
      <c r="F80" s="11"/>
      <c r="G80" s="11">
        <f t="shared" si="18"/>
        <v>70.9259</v>
      </c>
      <c r="H80" s="11" t="s">
        <v>33</v>
      </c>
      <c r="I80" s="10" t="s">
        <v>19</v>
      </c>
      <c r="J80" s="21">
        <v>7575</v>
      </c>
      <c r="K80" s="21">
        <f t="shared" si="19"/>
        <v>93.6315511551155</v>
      </c>
      <c r="L80" s="10"/>
      <c r="M80" s="22"/>
      <c r="N80" s="19"/>
      <c r="O80" s="19"/>
      <c r="P80" s="19"/>
      <c r="Q80" s="22"/>
      <c r="R80" s="22"/>
      <c r="S80" s="22"/>
      <c r="T80" s="31"/>
      <c r="U80" s="31"/>
      <c r="V80" s="31"/>
    </row>
    <row r="81" ht="34" customHeight="1" outlineLevel="1" collapsed="1" spans="1:22">
      <c r="A81" s="14">
        <v>10</v>
      </c>
      <c r="B81" s="10" t="s">
        <v>51</v>
      </c>
      <c r="C81" s="11">
        <f>SUM(C82:C86)</f>
        <v>1623.1242</v>
      </c>
      <c r="D81" s="11">
        <f>SUM(D82:D86)</f>
        <v>727.699</v>
      </c>
      <c r="E81" s="11">
        <f>SUM(E82:E86)</f>
        <v>11.8883</v>
      </c>
      <c r="F81" s="11"/>
      <c r="G81" s="11">
        <f t="shared" ref="G81:G86" si="20">SUM(C81:F81)</f>
        <v>2362.7115</v>
      </c>
      <c r="H81" s="11" t="s">
        <v>18</v>
      </c>
      <c r="I81" s="10" t="s">
        <v>19</v>
      </c>
      <c r="J81" s="21">
        <f>J5</f>
        <v>45328.8</v>
      </c>
      <c r="K81" s="21">
        <f t="shared" ref="K81:K86" si="21">G81/J81*10000</f>
        <v>521.238484142532</v>
      </c>
      <c r="L81" s="28" t="s">
        <v>52</v>
      </c>
      <c r="M81" s="22"/>
      <c r="N81" s="19"/>
      <c r="O81" s="19"/>
      <c r="P81" s="19"/>
      <c r="Q81" s="22"/>
      <c r="R81" s="22"/>
      <c r="S81" s="22"/>
      <c r="T81" s="31"/>
      <c r="U81" s="31"/>
      <c r="V81" s="31"/>
    </row>
    <row r="82" ht="27" hidden="1" customHeight="1" outlineLevel="2" spans="1:22">
      <c r="A82" s="16">
        <v>10.1</v>
      </c>
      <c r="B82" s="10" t="s">
        <v>53</v>
      </c>
      <c r="C82" s="11">
        <f>109.338+543.184+179.9065+152.4655+27.4212</f>
        <v>1012.3152</v>
      </c>
      <c r="D82" s="11"/>
      <c r="E82" s="11"/>
      <c r="F82" s="11"/>
      <c r="G82" s="11">
        <f t="shared" si="20"/>
        <v>1012.3152</v>
      </c>
      <c r="H82" s="11" t="s">
        <v>18</v>
      </c>
      <c r="I82" s="10" t="s">
        <v>19</v>
      </c>
      <c r="J82" s="21">
        <f t="shared" ref="J81:J86" si="22">J6</f>
        <v>45328.8</v>
      </c>
      <c r="K82" s="21">
        <f t="shared" si="21"/>
        <v>223.327156245036</v>
      </c>
      <c r="L82" s="28"/>
      <c r="M82" s="22"/>
      <c r="N82" s="19"/>
      <c r="O82" s="19"/>
      <c r="P82" s="19"/>
      <c r="Q82" s="22"/>
      <c r="R82" s="22"/>
      <c r="S82" s="22"/>
      <c r="T82" s="31"/>
      <c r="U82" s="31"/>
      <c r="V82" s="31"/>
    </row>
    <row r="83" ht="27" hidden="1" customHeight="1" outlineLevel="2" spans="1:22">
      <c r="A83" s="16">
        <v>10.2</v>
      </c>
      <c r="B83" s="10" t="s">
        <v>54</v>
      </c>
      <c r="C83" s="11">
        <v>266.0927</v>
      </c>
      <c r="D83" s="11"/>
      <c r="E83" s="11"/>
      <c r="F83" s="11"/>
      <c r="G83" s="11">
        <f t="shared" si="20"/>
        <v>266.0927</v>
      </c>
      <c r="H83" s="11" t="s">
        <v>18</v>
      </c>
      <c r="I83" s="10" t="s">
        <v>19</v>
      </c>
      <c r="J83" s="21">
        <f t="shared" si="22"/>
        <v>397</v>
      </c>
      <c r="K83" s="21">
        <f t="shared" si="21"/>
        <v>6702.58690176322</v>
      </c>
      <c r="L83" s="28"/>
      <c r="M83" s="22"/>
      <c r="N83" s="19"/>
      <c r="O83" s="19"/>
      <c r="P83" s="19"/>
      <c r="Q83" s="22"/>
      <c r="R83" s="22"/>
      <c r="S83" s="22"/>
      <c r="T83" s="31"/>
      <c r="U83" s="31"/>
      <c r="V83" s="31"/>
    </row>
    <row r="84" ht="27" hidden="1" customHeight="1" outlineLevel="2" spans="1:22">
      <c r="A84" s="16">
        <v>10.3</v>
      </c>
      <c r="B84" s="10" t="s">
        <v>55</v>
      </c>
      <c r="C84" s="11">
        <v>73.037</v>
      </c>
      <c r="D84" s="11"/>
      <c r="E84" s="11"/>
      <c r="F84" s="11"/>
      <c r="G84" s="11">
        <f t="shared" si="20"/>
        <v>73.037</v>
      </c>
      <c r="H84" s="11" t="s">
        <v>18</v>
      </c>
      <c r="I84" s="10" t="s">
        <v>19</v>
      </c>
      <c r="J84" s="21">
        <f t="shared" si="22"/>
        <v>3203.7</v>
      </c>
      <c r="K84" s="21">
        <f t="shared" si="21"/>
        <v>227.977026563037</v>
      </c>
      <c r="L84" s="28"/>
      <c r="M84" s="22"/>
      <c r="N84" s="19"/>
      <c r="O84" s="19"/>
      <c r="P84" s="19"/>
      <c r="Q84" s="22"/>
      <c r="R84" s="22"/>
      <c r="S84" s="22"/>
      <c r="T84" s="31"/>
      <c r="U84" s="31"/>
      <c r="V84" s="31"/>
    </row>
    <row r="85" ht="27" hidden="1" customHeight="1" outlineLevel="2" spans="1:22">
      <c r="A85" s="16">
        <v>10.4</v>
      </c>
      <c r="B85" s="10" t="s">
        <v>56</v>
      </c>
      <c r="C85" s="11">
        <v>271.6793</v>
      </c>
      <c r="D85" s="11"/>
      <c r="E85" s="11"/>
      <c r="F85" s="11"/>
      <c r="G85" s="11">
        <f t="shared" si="20"/>
        <v>271.6793</v>
      </c>
      <c r="H85" s="11" t="s">
        <v>18</v>
      </c>
      <c r="I85" s="10" t="s">
        <v>19</v>
      </c>
      <c r="J85" s="21">
        <f t="shared" si="22"/>
        <v>3203.7</v>
      </c>
      <c r="K85" s="21">
        <f t="shared" si="21"/>
        <v>848.01729250554</v>
      </c>
      <c r="L85" s="28"/>
      <c r="M85" s="22"/>
      <c r="N85" s="19"/>
      <c r="O85" s="19"/>
      <c r="P85" s="19"/>
      <c r="Q85" s="22"/>
      <c r="R85" s="22"/>
      <c r="S85" s="22"/>
      <c r="T85" s="31"/>
      <c r="U85" s="31"/>
      <c r="V85" s="31"/>
    </row>
    <row r="86" ht="27" hidden="1" customHeight="1" outlineLevel="2" spans="1:22">
      <c r="A86" s="16">
        <v>10.5</v>
      </c>
      <c r="B86" s="10" t="s">
        <v>57</v>
      </c>
      <c r="C86" s="11"/>
      <c r="D86" s="11">
        <f>2096.6188-C82-C84-C85-E86</f>
        <v>727.699</v>
      </c>
      <c r="E86" s="11">
        <f>11.2303+0.658</f>
        <v>11.8883</v>
      </c>
      <c r="F86" s="11"/>
      <c r="G86" s="11">
        <f t="shared" si="20"/>
        <v>739.5873</v>
      </c>
      <c r="H86" s="11" t="s">
        <v>18</v>
      </c>
      <c r="I86" s="10" t="s">
        <v>19</v>
      </c>
      <c r="J86" s="21">
        <f t="shared" si="22"/>
        <v>3203.7</v>
      </c>
      <c r="K86" s="21">
        <f t="shared" si="21"/>
        <v>2308.54106189718</v>
      </c>
      <c r="L86" s="28"/>
      <c r="M86" s="22"/>
      <c r="N86" s="19"/>
      <c r="O86" s="19"/>
      <c r="P86" s="19"/>
      <c r="Q86" s="22"/>
      <c r="R86" s="22"/>
      <c r="S86" s="22"/>
      <c r="T86" s="31"/>
      <c r="U86" s="31"/>
      <c r="V86" s="31"/>
    </row>
    <row r="87" ht="25" customHeight="1" outlineLevel="1" collapsed="1" spans="1:22">
      <c r="A87" s="14">
        <v>11</v>
      </c>
      <c r="B87" s="10" t="s">
        <v>58</v>
      </c>
      <c r="C87" s="11"/>
      <c r="D87" s="11"/>
      <c r="E87" s="11">
        <f>SUM(E88:E93)</f>
        <v>226.3459</v>
      </c>
      <c r="F87" s="11"/>
      <c r="G87" s="11">
        <f t="shared" ref="G87:G93" si="23">SUM(C87:F87)</f>
        <v>226.3459</v>
      </c>
      <c r="H87" s="11" t="s">
        <v>59</v>
      </c>
      <c r="I87" s="11" t="s">
        <v>59</v>
      </c>
      <c r="J87" s="21">
        <v>1</v>
      </c>
      <c r="K87" s="21">
        <f t="shared" ref="K87:K93" si="24">G87/J87*10000</f>
        <v>2263459</v>
      </c>
      <c r="L87" s="10"/>
      <c r="M87" s="22"/>
      <c r="N87" s="19"/>
      <c r="O87" s="19"/>
      <c r="P87" s="19"/>
      <c r="Q87" s="22"/>
      <c r="R87" s="22"/>
      <c r="S87" s="22"/>
      <c r="T87" s="31"/>
      <c r="U87" s="31"/>
      <c r="V87" s="31"/>
    </row>
    <row r="88" ht="25" hidden="1" customHeight="1" outlineLevel="2" spans="1:22">
      <c r="A88" s="16">
        <v>11.1</v>
      </c>
      <c r="B88" s="10" t="s">
        <v>45</v>
      </c>
      <c r="C88" s="11"/>
      <c r="D88" s="11"/>
      <c r="E88" s="11">
        <v>23.2039</v>
      </c>
      <c r="F88" s="11"/>
      <c r="G88" s="11">
        <f t="shared" si="23"/>
        <v>23.2039</v>
      </c>
      <c r="H88" s="11" t="s">
        <v>14</v>
      </c>
      <c r="I88" s="11" t="s">
        <v>60</v>
      </c>
      <c r="J88" s="21">
        <v>1</v>
      </c>
      <c r="K88" s="21">
        <f t="shared" si="24"/>
        <v>232039</v>
      </c>
      <c r="L88" s="10" t="s">
        <v>61</v>
      </c>
      <c r="M88" s="22"/>
      <c r="N88" s="19"/>
      <c r="O88" s="19"/>
      <c r="P88" s="19"/>
      <c r="Q88" s="22"/>
      <c r="R88" s="22"/>
      <c r="S88" s="22"/>
      <c r="T88" s="31"/>
      <c r="U88" s="31"/>
      <c r="V88" s="31"/>
    </row>
    <row r="89" ht="25" hidden="1" customHeight="1" outlineLevel="2" spans="1:22">
      <c r="A89" s="16">
        <v>11.2</v>
      </c>
      <c r="B89" s="10" t="s">
        <v>46</v>
      </c>
      <c r="C89" s="11"/>
      <c r="D89" s="11"/>
      <c r="E89" s="11">
        <v>21.8</v>
      </c>
      <c r="F89" s="11"/>
      <c r="G89" s="11">
        <f t="shared" si="23"/>
        <v>21.8</v>
      </c>
      <c r="H89" s="11" t="s">
        <v>14</v>
      </c>
      <c r="I89" s="11" t="s">
        <v>60</v>
      </c>
      <c r="J89" s="21">
        <v>1</v>
      </c>
      <c r="K89" s="21">
        <f t="shared" si="24"/>
        <v>218000</v>
      </c>
      <c r="L89" s="10" t="s">
        <v>62</v>
      </c>
      <c r="M89" s="22"/>
      <c r="N89" s="19"/>
      <c r="O89" s="19"/>
      <c r="P89" s="19"/>
      <c r="Q89" s="22"/>
      <c r="R89" s="22"/>
      <c r="S89" s="22"/>
      <c r="T89" s="31"/>
      <c r="U89" s="31"/>
      <c r="V89" s="31"/>
    </row>
    <row r="90" ht="25" hidden="1" customHeight="1" outlineLevel="2" spans="1:22">
      <c r="A90" s="16">
        <v>11.3</v>
      </c>
      <c r="B90" s="10" t="s">
        <v>47</v>
      </c>
      <c r="C90" s="11"/>
      <c r="D90" s="11"/>
      <c r="E90" s="11">
        <v>24.114</v>
      </c>
      <c r="F90" s="11"/>
      <c r="G90" s="11">
        <f t="shared" si="23"/>
        <v>24.114</v>
      </c>
      <c r="H90" s="11" t="s">
        <v>14</v>
      </c>
      <c r="I90" s="11" t="s">
        <v>60</v>
      </c>
      <c r="J90" s="21">
        <v>1</v>
      </c>
      <c r="K90" s="21">
        <f t="shared" si="24"/>
        <v>241140</v>
      </c>
      <c r="L90" s="10" t="s">
        <v>63</v>
      </c>
      <c r="M90" s="22"/>
      <c r="N90" s="19"/>
      <c r="O90" s="19"/>
      <c r="P90" s="19"/>
      <c r="Q90" s="22"/>
      <c r="R90" s="22"/>
      <c r="S90" s="22"/>
      <c r="T90" s="31"/>
      <c r="U90" s="31"/>
      <c r="V90" s="31"/>
    </row>
    <row r="91" ht="25" hidden="1" customHeight="1" outlineLevel="2" spans="1:22">
      <c r="A91" s="16">
        <v>11.4</v>
      </c>
      <c r="B91" s="10" t="s">
        <v>48</v>
      </c>
      <c r="C91" s="11"/>
      <c r="D91" s="11"/>
      <c r="E91" s="11">
        <v>24.114</v>
      </c>
      <c r="F91" s="11"/>
      <c r="G91" s="11">
        <f t="shared" si="23"/>
        <v>24.114</v>
      </c>
      <c r="H91" s="11" t="s">
        <v>14</v>
      </c>
      <c r="I91" s="11" t="s">
        <v>60</v>
      </c>
      <c r="J91" s="21">
        <v>1</v>
      </c>
      <c r="K91" s="21">
        <f t="shared" si="24"/>
        <v>241140</v>
      </c>
      <c r="L91" s="10" t="s">
        <v>63</v>
      </c>
      <c r="M91" s="22"/>
      <c r="N91" s="19"/>
      <c r="O91" s="19"/>
      <c r="P91" s="19"/>
      <c r="Q91" s="22"/>
      <c r="R91" s="22"/>
      <c r="S91" s="22"/>
      <c r="T91" s="31"/>
      <c r="U91" s="31"/>
      <c r="V91" s="31"/>
    </row>
    <row r="92" ht="25" hidden="1" customHeight="1" outlineLevel="2" spans="1:22">
      <c r="A92" s="16">
        <v>11.5</v>
      </c>
      <c r="B92" s="10" t="s">
        <v>49</v>
      </c>
      <c r="C92" s="11"/>
      <c r="D92" s="11"/>
      <c r="E92" s="11">
        <v>24.114</v>
      </c>
      <c r="F92" s="11"/>
      <c r="G92" s="11">
        <f t="shared" si="23"/>
        <v>24.114</v>
      </c>
      <c r="H92" s="11" t="s">
        <v>14</v>
      </c>
      <c r="I92" s="11" t="s">
        <v>60</v>
      </c>
      <c r="J92" s="21">
        <v>1</v>
      </c>
      <c r="K92" s="21">
        <f t="shared" si="24"/>
        <v>241140</v>
      </c>
      <c r="L92" s="10" t="s">
        <v>63</v>
      </c>
      <c r="M92" s="22"/>
      <c r="N92" s="19"/>
      <c r="O92" s="19"/>
      <c r="P92" s="19"/>
      <c r="Q92" s="22"/>
      <c r="R92" s="22"/>
      <c r="S92" s="22"/>
      <c r="T92" s="31"/>
      <c r="U92" s="31"/>
      <c r="V92" s="31"/>
    </row>
    <row r="93" ht="25" hidden="1" customHeight="1" outlineLevel="2" spans="1:22">
      <c r="A93" s="16">
        <v>11.6</v>
      </c>
      <c r="B93" s="10" t="s">
        <v>50</v>
      </c>
      <c r="C93" s="11"/>
      <c r="D93" s="11"/>
      <c r="E93" s="11">
        <v>109</v>
      </c>
      <c r="F93" s="11"/>
      <c r="G93" s="11">
        <f t="shared" si="23"/>
        <v>109</v>
      </c>
      <c r="H93" s="11" t="s">
        <v>14</v>
      </c>
      <c r="I93" s="11" t="s">
        <v>60</v>
      </c>
      <c r="J93" s="21">
        <v>5</v>
      </c>
      <c r="K93" s="21">
        <f t="shared" si="24"/>
        <v>218000</v>
      </c>
      <c r="L93" s="10" t="s">
        <v>62</v>
      </c>
      <c r="M93" s="22"/>
      <c r="N93" s="19"/>
      <c r="O93" s="19"/>
      <c r="P93" s="19"/>
      <c r="Q93" s="22"/>
      <c r="R93" s="22"/>
      <c r="S93" s="22"/>
      <c r="T93" s="31"/>
      <c r="U93" s="31"/>
      <c r="V93" s="31"/>
    </row>
    <row r="94" ht="27" customHeight="1" outlineLevel="1" spans="1:22">
      <c r="A94" s="14">
        <v>12</v>
      </c>
      <c r="B94" s="10" t="s">
        <v>64</v>
      </c>
      <c r="C94" s="11"/>
      <c r="D94" s="11">
        <f>146.0384-E94</f>
        <v>59.9384</v>
      </c>
      <c r="E94" s="11">
        <v>86.1</v>
      </c>
      <c r="F94" s="11"/>
      <c r="G94" s="11">
        <f t="shared" ref="G94:G102" si="25">SUM(C94:F94)</f>
        <v>146.0384</v>
      </c>
      <c r="H94" s="11" t="s">
        <v>59</v>
      </c>
      <c r="I94" s="11" t="s">
        <v>59</v>
      </c>
      <c r="J94" s="21">
        <v>1</v>
      </c>
      <c r="K94" s="21">
        <f t="shared" ref="K94:K103" si="26">G94/J94*10000</f>
        <v>1460384</v>
      </c>
      <c r="L94" s="28"/>
      <c r="M94" s="22"/>
      <c r="N94" s="19"/>
      <c r="O94" s="19"/>
      <c r="P94" s="19"/>
      <c r="Q94" s="22"/>
      <c r="R94" s="22"/>
      <c r="S94" s="22"/>
      <c r="T94" s="31"/>
      <c r="U94" s="31"/>
      <c r="V94" s="31"/>
    </row>
    <row r="95" ht="25" customHeight="1" outlineLevel="1" spans="1:22">
      <c r="A95" s="14">
        <v>13</v>
      </c>
      <c r="B95" s="10" t="s">
        <v>65</v>
      </c>
      <c r="C95" s="33">
        <v>45.778</v>
      </c>
      <c r="D95" s="11"/>
      <c r="E95" s="11"/>
      <c r="F95" s="11"/>
      <c r="G95" s="11">
        <f t="shared" si="25"/>
        <v>45.778</v>
      </c>
      <c r="H95" s="11" t="s">
        <v>18</v>
      </c>
      <c r="I95" s="10" t="s">
        <v>19</v>
      </c>
      <c r="J95" s="21">
        <f>J8+J18+J27+J36+J45+J72+J63+J54</f>
        <v>45328.8</v>
      </c>
      <c r="K95" s="21">
        <f t="shared" si="26"/>
        <v>10.0990981451086</v>
      </c>
      <c r="L95" s="48" t="s">
        <v>20</v>
      </c>
      <c r="M95" s="22"/>
      <c r="N95" s="19"/>
      <c r="O95" s="19"/>
      <c r="P95" s="19"/>
      <c r="Q95" s="22"/>
      <c r="R95" s="22"/>
      <c r="S95" s="22"/>
      <c r="T95" s="31"/>
      <c r="U95" s="31"/>
      <c r="V95" s="31"/>
    </row>
    <row r="96" customFormat="1" ht="25" customHeight="1" outlineLevel="1" spans="1:22">
      <c r="A96" s="14">
        <v>14</v>
      </c>
      <c r="B96" s="10" t="s">
        <v>66</v>
      </c>
      <c r="C96" s="33"/>
      <c r="D96" s="11">
        <f>7.5598-E96</f>
        <v>0.6798</v>
      </c>
      <c r="E96" s="11">
        <f>4.14+2.74</f>
        <v>6.88</v>
      </c>
      <c r="F96" s="11"/>
      <c r="G96" s="11">
        <f t="shared" si="25"/>
        <v>7.5598</v>
      </c>
      <c r="H96" s="11" t="s">
        <v>59</v>
      </c>
      <c r="I96" s="11" t="s">
        <v>59</v>
      </c>
      <c r="J96" s="21">
        <v>1</v>
      </c>
      <c r="K96" s="21">
        <f t="shared" si="26"/>
        <v>75598</v>
      </c>
      <c r="L96" s="48"/>
      <c r="M96" s="22"/>
      <c r="N96" s="19"/>
      <c r="O96" s="19"/>
      <c r="P96" s="19"/>
      <c r="Q96" s="22"/>
      <c r="R96" s="22"/>
      <c r="S96" s="22"/>
      <c r="T96" s="31"/>
      <c r="U96" s="31"/>
      <c r="V96" s="31"/>
    </row>
    <row r="97" customFormat="1" ht="25" customHeight="1" outlineLevel="1" spans="1:22">
      <c r="A97" s="14">
        <v>15</v>
      </c>
      <c r="B97" s="10" t="s">
        <v>67</v>
      </c>
      <c r="C97" s="33">
        <f>SUM(C98:C100)</f>
        <v>561.8134</v>
      </c>
      <c r="D97" s="11"/>
      <c r="E97" s="11"/>
      <c r="F97" s="11"/>
      <c r="G97" s="11">
        <f t="shared" si="25"/>
        <v>561.8134</v>
      </c>
      <c r="H97" s="11" t="s">
        <v>59</v>
      </c>
      <c r="I97" s="11" t="s">
        <v>59</v>
      </c>
      <c r="J97" s="21">
        <v>1</v>
      </c>
      <c r="K97" s="21">
        <f t="shared" si="26"/>
        <v>5618134</v>
      </c>
      <c r="L97" s="48"/>
      <c r="M97" s="22"/>
      <c r="N97" s="19"/>
      <c r="O97" s="19"/>
      <c r="P97" s="19"/>
      <c r="Q97" s="22"/>
      <c r="R97" s="22"/>
      <c r="S97" s="22"/>
      <c r="T97" s="31"/>
      <c r="U97" s="31"/>
      <c r="V97" s="31"/>
    </row>
    <row r="98" customFormat="1" ht="25" customHeight="1" outlineLevel="2" spans="1:22">
      <c r="A98" s="16">
        <v>15.1</v>
      </c>
      <c r="B98" s="10" t="s">
        <v>68</v>
      </c>
      <c r="C98" s="33">
        <v>218.1267</v>
      </c>
      <c r="D98" s="11"/>
      <c r="E98" s="11"/>
      <c r="F98" s="11"/>
      <c r="G98" s="11">
        <f t="shared" si="25"/>
        <v>218.1267</v>
      </c>
      <c r="H98" s="11" t="s">
        <v>69</v>
      </c>
      <c r="I98" s="10" t="s">
        <v>19</v>
      </c>
      <c r="J98" s="21">
        <v>6340</v>
      </c>
      <c r="K98" s="21">
        <f t="shared" si="26"/>
        <v>344.048422712934</v>
      </c>
      <c r="L98" s="48"/>
      <c r="M98" s="22"/>
      <c r="N98" s="19"/>
      <c r="O98" s="19"/>
      <c r="P98" s="19"/>
      <c r="Q98" s="22"/>
      <c r="R98" s="22"/>
      <c r="S98" s="22"/>
      <c r="T98" s="31"/>
      <c r="U98" s="31"/>
      <c r="V98" s="31"/>
    </row>
    <row r="99" customFormat="1" ht="25" customHeight="1" outlineLevel="2" spans="1:22">
      <c r="A99" s="16">
        <v>15.2</v>
      </c>
      <c r="B99" s="10" t="s">
        <v>70</v>
      </c>
      <c r="C99" s="33">
        <v>327.1624</v>
      </c>
      <c r="D99" s="11"/>
      <c r="E99" s="11"/>
      <c r="F99" s="11"/>
      <c r="G99" s="11">
        <f t="shared" si="25"/>
        <v>327.1624</v>
      </c>
      <c r="H99" s="11" t="s">
        <v>33</v>
      </c>
      <c r="I99" s="10" t="s">
        <v>19</v>
      </c>
      <c r="J99" s="21">
        <v>15895</v>
      </c>
      <c r="K99" s="21">
        <f t="shared" si="26"/>
        <v>205.82724127084</v>
      </c>
      <c r="L99" s="48"/>
      <c r="M99" s="22"/>
      <c r="N99" s="19"/>
      <c r="O99" s="19"/>
      <c r="P99" s="19"/>
      <c r="Q99" s="22"/>
      <c r="R99" s="22"/>
      <c r="S99" s="22"/>
      <c r="T99" s="31"/>
      <c r="U99" s="31"/>
      <c r="V99" s="31"/>
    </row>
    <row r="100" customFormat="1" ht="25" customHeight="1" outlineLevel="2" spans="1:22">
      <c r="A100" s="16">
        <v>15.3</v>
      </c>
      <c r="B100" s="10" t="s">
        <v>71</v>
      </c>
      <c r="C100" s="33">
        <v>16.5243</v>
      </c>
      <c r="D100" s="11"/>
      <c r="E100" s="11"/>
      <c r="F100" s="11"/>
      <c r="G100" s="11">
        <f t="shared" si="25"/>
        <v>16.5243</v>
      </c>
      <c r="H100" s="11" t="s">
        <v>59</v>
      </c>
      <c r="I100" s="11" t="s">
        <v>59</v>
      </c>
      <c r="J100" s="21">
        <v>1</v>
      </c>
      <c r="K100" s="21">
        <f t="shared" si="26"/>
        <v>165243</v>
      </c>
      <c r="L100" s="48"/>
      <c r="M100" s="22"/>
      <c r="N100" s="19"/>
      <c r="O100" s="19"/>
      <c r="P100" s="19"/>
      <c r="Q100" s="22"/>
      <c r="R100" s="22"/>
      <c r="S100" s="22"/>
      <c r="T100" s="31"/>
      <c r="U100" s="31"/>
      <c r="V100" s="31"/>
    </row>
    <row r="101" customFormat="1" ht="25" customHeight="1" outlineLevel="1" spans="1:22">
      <c r="A101" s="34" t="s">
        <v>72</v>
      </c>
      <c r="B101" s="35" t="s">
        <v>73</v>
      </c>
      <c r="C101" s="36"/>
      <c r="D101" s="37"/>
      <c r="E101" s="37">
        <f>[2]二期教学生活设施设备购置费汇总表!$G$49</f>
        <v>2932.08</v>
      </c>
      <c r="F101" s="37"/>
      <c r="G101" s="37">
        <f t="shared" si="25"/>
        <v>2932.08</v>
      </c>
      <c r="H101" s="37" t="s">
        <v>59</v>
      </c>
      <c r="I101" s="37" t="s">
        <v>59</v>
      </c>
      <c r="J101" s="49">
        <v>1</v>
      </c>
      <c r="K101" s="49">
        <f t="shared" si="26"/>
        <v>29320800</v>
      </c>
      <c r="L101" s="48" t="s">
        <v>74</v>
      </c>
      <c r="M101" s="22"/>
      <c r="N101" s="19"/>
      <c r="O101" s="19"/>
      <c r="P101" s="47"/>
      <c r="Q101" s="22"/>
      <c r="R101" s="22"/>
      <c r="S101" s="22"/>
      <c r="T101" s="31"/>
      <c r="U101" s="31"/>
      <c r="V101" s="31"/>
    </row>
    <row r="102" ht="21" customHeight="1" spans="1:22">
      <c r="A102" s="12" t="s">
        <v>75</v>
      </c>
      <c r="B102" s="12" t="s">
        <v>76</v>
      </c>
      <c r="C102" s="38"/>
      <c r="D102" s="39"/>
      <c r="E102" s="40"/>
      <c r="F102" s="13">
        <f>F103+F109+F110+F113</f>
        <v>1395.15407343461</v>
      </c>
      <c r="G102" s="13">
        <f t="shared" si="25"/>
        <v>1395.15407343461</v>
      </c>
      <c r="H102" s="13" t="s">
        <v>18</v>
      </c>
      <c r="I102" s="23" t="s">
        <v>19</v>
      </c>
      <c r="J102" s="24">
        <f>J5</f>
        <v>45328.8</v>
      </c>
      <c r="K102" s="25">
        <f t="shared" si="26"/>
        <v>307.785353557696</v>
      </c>
      <c r="L102" s="48" t="s">
        <v>77</v>
      </c>
      <c r="M102" s="22"/>
      <c r="N102" s="19"/>
      <c r="O102" s="19"/>
      <c r="P102" s="47"/>
      <c r="Q102" s="22"/>
      <c r="R102" s="22"/>
      <c r="S102" s="22"/>
      <c r="T102" s="31"/>
      <c r="U102" s="31"/>
      <c r="V102" s="31"/>
    </row>
    <row r="103" ht="21" customHeight="1" outlineLevel="1" spans="1:22">
      <c r="A103" s="35" t="s">
        <v>78</v>
      </c>
      <c r="B103" s="41" t="s">
        <v>79</v>
      </c>
      <c r="C103" s="42"/>
      <c r="D103" s="43"/>
      <c r="E103" s="43"/>
      <c r="F103" s="44">
        <f>SUM(F104:F108)</f>
        <v>617.637104029388</v>
      </c>
      <c r="G103" s="11">
        <f>F103</f>
        <v>617.637104029388</v>
      </c>
      <c r="H103" s="11" t="s">
        <v>18</v>
      </c>
      <c r="I103" s="10" t="s">
        <v>19</v>
      </c>
      <c r="J103" s="50">
        <f>J102</f>
        <v>45328.8</v>
      </c>
      <c r="K103" s="11">
        <f t="shared" si="26"/>
        <v>136.257104540466</v>
      </c>
      <c r="L103" s="33"/>
      <c r="M103" s="22"/>
      <c r="N103" s="19"/>
      <c r="O103" s="19"/>
      <c r="P103" s="19"/>
      <c r="Q103" s="22"/>
      <c r="R103" s="22"/>
      <c r="S103" s="22"/>
      <c r="T103" s="31"/>
      <c r="U103" s="31"/>
      <c r="V103" s="31"/>
    </row>
    <row r="104" ht="20.1" customHeight="1" outlineLevel="4" spans="1:22">
      <c r="A104" s="14">
        <v>1</v>
      </c>
      <c r="B104" s="10" t="s">
        <v>80</v>
      </c>
      <c r="C104" s="44"/>
      <c r="D104" s="45"/>
      <c r="E104" s="45"/>
      <c r="F104" s="44">
        <f>[1]二期工程建设其它费用计算表!$D$6</f>
        <v>267.199474</v>
      </c>
      <c r="G104" s="11">
        <f t="shared" ref="G104:G115" si="27">F104</f>
        <v>267.199474</v>
      </c>
      <c r="H104" s="11" t="s">
        <v>18</v>
      </c>
      <c r="I104" s="10" t="s">
        <v>19</v>
      </c>
      <c r="J104" s="50">
        <f>J102</f>
        <v>45328.8</v>
      </c>
      <c r="K104" s="11">
        <f t="shared" ref="K104:K115" si="28">G104/J104*10000</f>
        <v>58.9469551366902</v>
      </c>
      <c r="L104" s="48" t="s">
        <v>20</v>
      </c>
      <c r="M104" s="22"/>
      <c r="N104" s="19"/>
      <c r="O104" s="19"/>
      <c r="P104" s="19"/>
      <c r="Q104" s="22"/>
      <c r="R104" s="22"/>
      <c r="S104" s="22"/>
      <c r="T104" s="31"/>
      <c r="U104" s="31"/>
      <c r="V104" s="31"/>
    </row>
    <row r="105" ht="21" customHeight="1" outlineLevel="4" spans="1:22">
      <c r="A105" s="14">
        <v>2</v>
      </c>
      <c r="B105" s="10" t="s">
        <v>81</v>
      </c>
      <c r="C105" s="44"/>
      <c r="D105" s="45"/>
      <c r="E105" s="45"/>
      <c r="F105" s="44">
        <f>[1]二期工程建设其它费用计算表!$D$7</f>
        <v>11.2531081676122</v>
      </c>
      <c r="G105" s="11">
        <f t="shared" si="27"/>
        <v>11.2531081676122</v>
      </c>
      <c r="H105" s="11" t="s">
        <v>18</v>
      </c>
      <c r="I105" s="10" t="s">
        <v>19</v>
      </c>
      <c r="J105" s="50">
        <f>J102</f>
        <v>45328.8</v>
      </c>
      <c r="K105" s="11">
        <f t="shared" si="28"/>
        <v>2.48255152742014</v>
      </c>
      <c r="L105" s="48" t="s">
        <v>20</v>
      </c>
      <c r="M105" s="22"/>
      <c r="N105" s="19"/>
      <c r="O105" s="19"/>
      <c r="P105" s="19"/>
      <c r="Q105" s="22"/>
      <c r="R105" s="22"/>
      <c r="S105" s="22"/>
      <c r="T105" s="31"/>
      <c r="U105" s="31"/>
      <c r="V105" s="31"/>
    </row>
    <row r="106" ht="20.1" customHeight="1" outlineLevel="4" spans="1:22">
      <c r="A106" s="14">
        <v>3</v>
      </c>
      <c r="B106" s="10" t="s">
        <v>82</v>
      </c>
      <c r="C106" s="44"/>
      <c r="D106" s="45"/>
      <c r="E106" s="45"/>
      <c r="F106" s="44">
        <f>[1]二期工程建设其它费用计算表!$D$8</f>
        <v>27.7926538161754</v>
      </c>
      <c r="G106" s="11">
        <f t="shared" si="27"/>
        <v>27.7926538161754</v>
      </c>
      <c r="H106" s="11" t="s">
        <v>18</v>
      </c>
      <c r="I106" s="10" t="s">
        <v>19</v>
      </c>
      <c r="J106" s="50">
        <f>J102</f>
        <v>45328.8</v>
      </c>
      <c r="K106" s="11">
        <f t="shared" si="28"/>
        <v>6.13134559400985</v>
      </c>
      <c r="L106" s="48"/>
      <c r="M106" s="22"/>
      <c r="N106" s="19"/>
      <c r="O106" s="19"/>
      <c r="P106" s="19"/>
      <c r="Q106" s="22"/>
      <c r="R106" s="22"/>
      <c r="S106" s="22"/>
      <c r="T106" s="31"/>
      <c r="U106" s="31"/>
      <c r="V106" s="31"/>
    </row>
    <row r="107" ht="21" customHeight="1" outlineLevel="4" spans="1:22">
      <c r="A107" s="14">
        <v>4</v>
      </c>
      <c r="B107" s="10" t="s">
        <v>83</v>
      </c>
      <c r="C107" s="44"/>
      <c r="D107" s="45"/>
      <c r="E107" s="45"/>
      <c r="F107" s="44">
        <f>[1]二期工程建设其它费用计算表!$D$9</f>
        <v>49.6646848</v>
      </c>
      <c r="G107" s="11">
        <f t="shared" si="27"/>
        <v>49.6646848</v>
      </c>
      <c r="H107" s="11" t="s">
        <v>18</v>
      </c>
      <c r="I107" s="10" t="s">
        <v>19</v>
      </c>
      <c r="J107" s="50">
        <f>J102</f>
        <v>45328.8</v>
      </c>
      <c r="K107" s="11">
        <f t="shared" si="28"/>
        <v>10.9565408305536</v>
      </c>
      <c r="L107" s="48" t="s">
        <v>20</v>
      </c>
      <c r="M107" s="22"/>
      <c r="N107" s="19"/>
      <c r="O107" s="19"/>
      <c r="P107" s="19"/>
      <c r="Q107" s="22"/>
      <c r="R107" s="22"/>
      <c r="S107" s="22"/>
      <c r="T107" s="31"/>
      <c r="U107" s="31"/>
      <c r="V107" s="31"/>
    </row>
    <row r="108" ht="20.1" customHeight="1" outlineLevel="4" spans="1:22">
      <c r="A108" s="14">
        <v>5</v>
      </c>
      <c r="B108" s="10" t="s">
        <v>84</v>
      </c>
      <c r="C108" s="44"/>
      <c r="D108" s="45"/>
      <c r="E108" s="45"/>
      <c r="F108" s="44">
        <f>[1]二期工程建设其它费用计算表!$D$10</f>
        <v>261.7271832456</v>
      </c>
      <c r="G108" s="11">
        <f t="shared" si="27"/>
        <v>261.7271832456</v>
      </c>
      <c r="H108" s="11" t="s">
        <v>18</v>
      </c>
      <c r="I108" s="10" t="s">
        <v>19</v>
      </c>
      <c r="J108" s="50">
        <f>J102</f>
        <v>45328.8</v>
      </c>
      <c r="K108" s="11">
        <f t="shared" si="28"/>
        <v>57.7397114517922</v>
      </c>
      <c r="L108" s="48" t="s">
        <v>20</v>
      </c>
      <c r="M108" s="22"/>
      <c r="N108" s="19"/>
      <c r="O108" s="19"/>
      <c r="P108" s="19"/>
      <c r="Q108" s="22"/>
      <c r="R108" s="22"/>
      <c r="S108" s="22"/>
      <c r="T108" s="31"/>
      <c r="U108" s="31"/>
      <c r="V108" s="31"/>
    </row>
    <row r="109" ht="21" customHeight="1" outlineLevel="1" spans="1:22">
      <c r="A109" s="34" t="s">
        <v>85</v>
      </c>
      <c r="B109" s="41" t="s">
        <v>86</v>
      </c>
      <c r="C109" s="44"/>
      <c r="D109" s="45"/>
      <c r="E109" s="45"/>
      <c r="F109" s="44">
        <f>[1]二期工程建设其它费用计算表!$D$11</f>
        <v>32.721558972</v>
      </c>
      <c r="G109" s="11">
        <f t="shared" si="27"/>
        <v>32.721558972</v>
      </c>
      <c r="H109" s="11" t="s">
        <v>18</v>
      </c>
      <c r="I109" s="10" t="s">
        <v>19</v>
      </c>
      <c r="J109" s="50">
        <f>J102</f>
        <v>45328.8</v>
      </c>
      <c r="K109" s="11">
        <f t="shared" si="28"/>
        <v>7.21871282098798</v>
      </c>
      <c r="L109" s="48"/>
      <c r="M109" s="22"/>
      <c r="N109" s="19"/>
      <c r="O109" s="19"/>
      <c r="P109" s="19"/>
      <c r="Q109" s="22"/>
      <c r="R109" s="22"/>
      <c r="S109" s="22"/>
      <c r="T109" s="31"/>
      <c r="U109" s="31"/>
      <c r="V109" s="31"/>
    </row>
    <row r="110" ht="21" customHeight="1" outlineLevel="1" spans="1:22">
      <c r="A110" s="34" t="s">
        <v>87</v>
      </c>
      <c r="B110" s="41" t="s">
        <v>88</v>
      </c>
      <c r="C110" s="44"/>
      <c r="D110" s="45"/>
      <c r="E110" s="45"/>
      <c r="F110" s="44">
        <f>SUM(F111:F112)</f>
        <v>439.340261873587</v>
      </c>
      <c r="G110" s="11">
        <f t="shared" si="27"/>
        <v>439.340261873587</v>
      </c>
      <c r="H110" s="11" t="s">
        <v>18</v>
      </c>
      <c r="I110" s="10" t="s">
        <v>19</v>
      </c>
      <c r="J110" s="50">
        <f>J102</f>
        <v>45328.8</v>
      </c>
      <c r="K110" s="11">
        <f t="shared" si="28"/>
        <v>96.9229853588859</v>
      </c>
      <c r="L110" s="48"/>
      <c r="M110" s="22"/>
      <c r="N110" s="19"/>
      <c r="O110" s="19"/>
      <c r="P110" s="19"/>
      <c r="Q110" s="22"/>
      <c r="R110" s="22"/>
      <c r="S110" s="22"/>
      <c r="T110" s="31"/>
      <c r="U110" s="31"/>
      <c r="V110" s="31"/>
    </row>
    <row r="111" ht="20.1" customHeight="1" outlineLevel="2" spans="1:22">
      <c r="A111" s="14">
        <v>1</v>
      </c>
      <c r="B111" s="10" t="s">
        <v>89</v>
      </c>
      <c r="C111" s="44"/>
      <c r="D111" s="45"/>
      <c r="E111" s="45"/>
      <c r="F111" s="44">
        <f>[1]二期工程建设其它费用计算表!$D$13</f>
        <v>73.57695512439</v>
      </c>
      <c r="G111" s="11">
        <f t="shared" si="27"/>
        <v>73.57695512439</v>
      </c>
      <c r="H111" s="11" t="s">
        <v>18</v>
      </c>
      <c r="I111" s="10" t="s">
        <v>19</v>
      </c>
      <c r="J111" s="50">
        <f>J102</f>
        <v>45328.8</v>
      </c>
      <c r="K111" s="11">
        <f t="shared" si="28"/>
        <v>16.2318338725909</v>
      </c>
      <c r="L111" s="48" t="s">
        <v>20</v>
      </c>
      <c r="M111" s="22"/>
      <c r="N111" s="19"/>
      <c r="O111" s="19"/>
      <c r="P111" s="19"/>
      <c r="Q111" s="22"/>
      <c r="R111" s="22"/>
      <c r="S111" s="22"/>
      <c r="T111" s="31"/>
      <c r="U111" s="31"/>
      <c r="V111" s="31"/>
    </row>
    <row r="112" ht="21" customHeight="1" outlineLevel="2" spans="1:22">
      <c r="A112" s="14">
        <v>2</v>
      </c>
      <c r="B112" s="10" t="s">
        <v>90</v>
      </c>
      <c r="C112" s="44"/>
      <c r="D112" s="45"/>
      <c r="E112" s="45"/>
      <c r="F112" s="44">
        <f>[1]二期工程建设其它费用计算表!$D$14</f>
        <v>365.763306749197</v>
      </c>
      <c r="G112" s="11">
        <f t="shared" si="27"/>
        <v>365.763306749197</v>
      </c>
      <c r="H112" s="11" t="s">
        <v>18</v>
      </c>
      <c r="I112" s="10" t="s">
        <v>19</v>
      </c>
      <c r="J112" s="50">
        <f>J102</f>
        <v>45328.8</v>
      </c>
      <c r="K112" s="11">
        <f t="shared" si="28"/>
        <v>80.6911514862949</v>
      </c>
      <c r="L112" s="48" t="s">
        <v>20</v>
      </c>
      <c r="M112" s="22"/>
      <c r="N112" s="19"/>
      <c r="O112" s="19"/>
      <c r="P112" s="19"/>
      <c r="Q112" s="22"/>
      <c r="R112" s="22"/>
      <c r="S112" s="22"/>
      <c r="T112" s="31"/>
      <c r="U112" s="31"/>
      <c r="V112" s="31"/>
    </row>
    <row r="113" ht="21" customHeight="1" outlineLevel="1" spans="1:22">
      <c r="A113" s="34" t="s">
        <v>91</v>
      </c>
      <c r="B113" s="41" t="s">
        <v>92</v>
      </c>
      <c r="C113" s="44"/>
      <c r="D113" s="45"/>
      <c r="E113" s="45"/>
      <c r="F113" s="44">
        <f>SUM(F114:F127)</f>
        <v>305.455148559635</v>
      </c>
      <c r="G113" s="11">
        <f t="shared" si="27"/>
        <v>305.455148559635</v>
      </c>
      <c r="H113" s="11" t="s">
        <v>18</v>
      </c>
      <c r="I113" s="10" t="s">
        <v>19</v>
      </c>
      <c r="J113" s="50">
        <f>J102</f>
        <v>45328.8</v>
      </c>
      <c r="K113" s="11">
        <f t="shared" si="28"/>
        <v>67.3865508373561</v>
      </c>
      <c r="L113" s="48"/>
      <c r="M113" s="22"/>
      <c r="N113" s="19"/>
      <c r="O113" s="19"/>
      <c r="P113" s="47">
        <f>G128+G102+G5-7000-8000*2</f>
        <v>1838.55451763765</v>
      </c>
      <c r="Q113" s="22"/>
      <c r="R113" s="22"/>
      <c r="S113" s="22"/>
      <c r="T113" s="31"/>
      <c r="U113" s="31"/>
      <c r="V113" s="31"/>
    </row>
    <row r="114" ht="21" customHeight="1" outlineLevel="2" spans="1:22">
      <c r="A114" s="14">
        <v>1</v>
      </c>
      <c r="B114" s="10" t="s">
        <v>93</v>
      </c>
      <c r="C114" s="44"/>
      <c r="D114" s="45"/>
      <c r="E114" s="45"/>
      <c r="F114" s="44">
        <f>[1]二期工程建设其它费用计算表!$D$16</f>
        <v>15.052787376</v>
      </c>
      <c r="G114" s="11">
        <f t="shared" si="27"/>
        <v>15.052787376</v>
      </c>
      <c r="H114" s="11" t="s">
        <v>18</v>
      </c>
      <c r="I114" s="10" t="s">
        <v>19</v>
      </c>
      <c r="J114" s="50">
        <f>J102</f>
        <v>45328.8</v>
      </c>
      <c r="K114" s="11">
        <f t="shared" si="28"/>
        <v>3.32079988351776</v>
      </c>
      <c r="L114" s="48" t="s">
        <v>20</v>
      </c>
      <c r="M114" s="22"/>
      <c r="N114" s="19"/>
      <c r="O114" s="19"/>
      <c r="P114" s="19"/>
      <c r="Q114" s="22"/>
      <c r="R114" s="22"/>
      <c r="S114" s="22"/>
      <c r="T114" s="31"/>
      <c r="U114" s="31"/>
      <c r="V114" s="31"/>
    </row>
    <row r="115" ht="21" customHeight="1" outlineLevel="2" spans="1:22">
      <c r="A115" s="14">
        <v>2</v>
      </c>
      <c r="B115" s="10" t="s">
        <v>94</v>
      </c>
      <c r="C115" s="44"/>
      <c r="D115" s="45"/>
      <c r="E115" s="45"/>
      <c r="F115" s="44">
        <f>[1]二期工程建设其它费用计算表!$D$17</f>
        <v>68.1598422</v>
      </c>
      <c r="G115" s="11">
        <f t="shared" si="27"/>
        <v>68.1598422</v>
      </c>
      <c r="H115" s="11" t="s">
        <v>18</v>
      </c>
      <c r="I115" s="10" t="s">
        <v>19</v>
      </c>
      <c r="J115" s="50">
        <f>J102</f>
        <v>45328.8</v>
      </c>
      <c r="K115" s="11">
        <f t="shared" si="28"/>
        <v>15.036762985122</v>
      </c>
      <c r="L115" s="48" t="s">
        <v>20</v>
      </c>
      <c r="M115" s="22"/>
      <c r="N115" s="19"/>
      <c r="O115" s="19"/>
      <c r="P115" s="19"/>
      <c r="Q115" s="22"/>
      <c r="R115" s="22"/>
      <c r="S115" s="22"/>
      <c r="T115" s="31"/>
      <c r="U115" s="31"/>
      <c r="V115" s="31"/>
    </row>
    <row r="116" ht="21" customHeight="1" outlineLevel="2" spans="1:22">
      <c r="A116" s="14">
        <v>3</v>
      </c>
      <c r="B116" s="10" t="s">
        <v>95</v>
      </c>
      <c r="C116" s="44"/>
      <c r="D116" s="45"/>
      <c r="E116" s="45"/>
      <c r="F116" s="44">
        <f>[1]二期工程建设其它费用计算表!$D$18</f>
        <v>22.7199474</v>
      </c>
      <c r="G116" s="11">
        <f t="shared" ref="G115:G131" si="29">F116</f>
        <v>22.7199474</v>
      </c>
      <c r="H116" s="11" t="s">
        <v>18</v>
      </c>
      <c r="I116" s="10" t="s">
        <v>19</v>
      </c>
      <c r="J116" s="50">
        <f>J102</f>
        <v>45328.8</v>
      </c>
      <c r="K116" s="11">
        <f t="shared" ref="K115:K134" si="30">G116/J116*10000</f>
        <v>5.01225432837401</v>
      </c>
      <c r="L116" s="48" t="s">
        <v>20</v>
      </c>
      <c r="M116" s="22"/>
      <c r="N116" s="19"/>
      <c r="O116" s="19"/>
      <c r="P116" s="19"/>
      <c r="Q116" s="22"/>
      <c r="R116" s="22"/>
      <c r="S116" s="22"/>
      <c r="T116" s="31"/>
      <c r="U116" s="31"/>
      <c r="V116" s="31"/>
    </row>
    <row r="117" ht="25" customHeight="1" outlineLevel="2" spans="1:22">
      <c r="A117" s="14">
        <v>4</v>
      </c>
      <c r="B117" s="10" t="s">
        <v>96</v>
      </c>
      <c r="C117" s="44"/>
      <c r="D117" s="45"/>
      <c r="E117" s="45"/>
      <c r="F117" s="44">
        <f>[1]二期工程建设其它费用计算表!$D$19</f>
        <v>113.599737</v>
      </c>
      <c r="G117" s="11">
        <f t="shared" si="29"/>
        <v>113.599737</v>
      </c>
      <c r="H117" s="11" t="s">
        <v>18</v>
      </c>
      <c r="I117" s="10" t="s">
        <v>19</v>
      </c>
      <c r="J117" s="50">
        <f>J102</f>
        <v>45328.8</v>
      </c>
      <c r="K117" s="11">
        <f t="shared" si="30"/>
        <v>25.0612716418701</v>
      </c>
      <c r="L117" s="48" t="s">
        <v>20</v>
      </c>
      <c r="M117" s="22"/>
      <c r="N117" s="19"/>
      <c r="O117" s="19"/>
      <c r="P117" s="19"/>
      <c r="Q117" s="22"/>
      <c r="R117" s="22"/>
      <c r="S117" s="22"/>
      <c r="T117" s="31"/>
      <c r="U117" s="31"/>
      <c r="V117" s="31"/>
    </row>
    <row r="118" ht="21" customHeight="1" outlineLevel="2" spans="1:22">
      <c r="A118" s="14">
        <v>5</v>
      </c>
      <c r="B118" s="10" t="s">
        <v>97</v>
      </c>
      <c r="C118" s="46"/>
      <c r="D118" s="46"/>
      <c r="E118" s="46"/>
      <c r="F118" s="44">
        <f>[1]二期工程建设其它费用计算表!$D$20</f>
        <v>12.4195768772348</v>
      </c>
      <c r="G118" s="11">
        <f t="shared" si="29"/>
        <v>12.4195768772348</v>
      </c>
      <c r="H118" s="11" t="s">
        <v>18</v>
      </c>
      <c r="I118" s="10" t="s">
        <v>19</v>
      </c>
      <c r="J118" s="50">
        <f>J102</f>
        <v>45328.8</v>
      </c>
      <c r="K118" s="11">
        <f t="shared" si="30"/>
        <v>2.73988653510236</v>
      </c>
      <c r="L118" s="48" t="s">
        <v>20</v>
      </c>
      <c r="M118" s="22"/>
      <c r="N118" s="19"/>
      <c r="O118" s="19"/>
      <c r="P118" s="19"/>
      <c r="Q118" s="22"/>
      <c r="R118" s="22"/>
      <c r="S118" s="22"/>
      <c r="T118" s="31"/>
      <c r="U118" s="31"/>
      <c r="V118" s="31"/>
    </row>
    <row r="119" ht="21" customHeight="1" outlineLevel="2" spans="1:22">
      <c r="A119" s="14">
        <v>6</v>
      </c>
      <c r="B119" s="10" t="s">
        <v>98</v>
      </c>
      <c r="C119" s="46"/>
      <c r="D119" s="46"/>
      <c r="E119" s="46"/>
      <c r="F119" s="44">
        <f>[1]二期工程建设其它费用计算表!$D$21</f>
        <v>18.9938760264</v>
      </c>
      <c r="G119" s="11">
        <f t="shared" si="29"/>
        <v>18.9938760264</v>
      </c>
      <c r="H119" s="11" t="s">
        <v>18</v>
      </c>
      <c r="I119" s="10" t="s">
        <v>19</v>
      </c>
      <c r="J119" s="50">
        <f>J102</f>
        <v>45328.8</v>
      </c>
      <c r="K119" s="11">
        <f t="shared" si="30"/>
        <v>4.19024461852068</v>
      </c>
      <c r="L119" s="48" t="s">
        <v>20</v>
      </c>
      <c r="M119" s="22"/>
      <c r="N119" s="19"/>
      <c r="O119" s="19"/>
      <c r="P119" s="19"/>
      <c r="Q119" s="22"/>
      <c r="R119" s="22"/>
      <c r="S119" s="22"/>
      <c r="T119" s="31"/>
      <c r="U119" s="31"/>
      <c r="V119" s="31"/>
    </row>
    <row r="120" ht="21" customHeight="1" outlineLevel="2" spans="1:22">
      <c r="A120" s="14">
        <v>7</v>
      </c>
      <c r="B120" s="10" t="s">
        <v>99</v>
      </c>
      <c r="C120" s="44"/>
      <c r="D120" s="45"/>
      <c r="E120" s="45"/>
      <c r="F120" s="44">
        <f>[1]二期工程建设其它费用计算表!$D$22</f>
        <v>0.659263</v>
      </c>
      <c r="G120" s="11">
        <f t="shared" si="29"/>
        <v>0.659263</v>
      </c>
      <c r="H120" s="11" t="s">
        <v>18</v>
      </c>
      <c r="I120" s="10" t="s">
        <v>19</v>
      </c>
      <c r="J120" s="50">
        <f>J102</f>
        <v>45328.8</v>
      </c>
      <c r="K120" s="11">
        <f t="shared" si="30"/>
        <v>0.145440205785284</v>
      </c>
      <c r="L120" s="48" t="s">
        <v>20</v>
      </c>
      <c r="M120" s="22"/>
      <c r="N120" s="19"/>
      <c r="O120" s="19"/>
      <c r="P120" s="19"/>
      <c r="Q120" s="22"/>
      <c r="R120" s="22"/>
      <c r="S120" s="22"/>
      <c r="T120" s="31"/>
      <c r="U120" s="31"/>
      <c r="V120" s="31"/>
    </row>
    <row r="121" ht="21.95" customHeight="1" outlineLevel="2" spans="1:22">
      <c r="A121" s="14">
        <v>8</v>
      </c>
      <c r="B121" s="10" t="s">
        <v>100</v>
      </c>
      <c r="C121" s="44"/>
      <c r="D121" s="45"/>
      <c r="E121" s="45"/>
      <c r="F121" s="44">
        <f>[1]二期工程建设其它费用计算表!$D$23</f>
        <v>29.74544088</v>
      </c>
      <c r="G121" s="11">
        <f t="shared" si="29"/>
        <v>29.74544088</v>
      </c>
      <c r="H121" s="11" t="s">
        <v>18</v>
      </c>
      <c r="I121" s="10" t="s">
        <v>19</v>
      </c>
      <c r="J121" s="50">
        <f>J102</f>
        <v>45328.8</v>
      </c>
      <c r="K121" s="11">
        <f t="shared" si="30"/>
        <v>6.56215052681739</v>
      </c>
      <c r="L121" s="48" t="s">
        <v>20</v>
      </c>
      <c r="M121" s="22"/>
      <c r="N121" s="19"/>
      <c r="O121" s="19"/>
      <c r="P121" s="19"/>
      <c r="Q121" s="22"/>
      <c r="R121" s="22"/>
      <c r="S121" s="22"/>
      <c r="T121" s="31"/>
      <c r="U121" s="31"/>
      <c r="V121" s="31"/>
    </row>
    <row r="122" ht="21" customHeight="1" outlineLevel="2" spans="1:22">
      <c r="A122" s="14">
        <v>9</v>
      </c>
      <c r="B122" s="10" t="s">
        <v>101</v>
      </c>
      <c r="C122" s="44"/>
      <c r="D122" s="45"/>
      <c r="E122" s="45"/>
      <c r="F122" s="44">
        <f>[1]二期工程建设其它费用计算表!$D$24</f>
        <v>3</v>
      </c>
      <c r="G122" s="11">
        <f t="shared" si="29"/>
        <v>3</v>
      </c>
      <c r="H122" s="11" t="s">
        <v>18</v>
      </c>
      <c r="I122" s="10" t="s">
        <v>19</v>
      </c>
      <c r="J122" s="50">
        <f>J102</f>
        <v>45328.8</v>
      </c>
      <c r="K122" s="11">
        <f t="shared" si="30"/>
        <v>0.66183088897125</v>
      </c>
      <c r="L122" s="48" t="s">
        <v>20</v>
      </c>
      <c r="M122" s="22"/>
      <c r="N122" s="19"/>
      <c r="O122" s="19"/>
      <c r="P122" s="19"/>
      <c r="Q122" s="22"/>
      <c r="R122" s="22"/>
      <c r="S122" s="22"/>
      <c r="T122" s="31"/>
      <c r="U122" s="31"/>
      <c r="V122" s="31"/>
    </row>
    <row r="123" ht="21" customHeight="1" outlineLevel="2" spans="1:22">
      <c r="A123" s="14">
        <v>10</v>
      </c>
      <c r="B123" s="10" t="s">
        <v>102</v>
      </c>
      <c r="C123" s="44"/>
      <c r="D123" s="45"/>
      <c r="E123" s="45"/>
      <c r="F123" s="44">
        <f>[1]二期工程建设其它费用计算表!$D$25</f>
        <v>7.920054</v>
      </c>
      <c r="G123" s="11">
        <f t="shared" si="29"/>
        <v>7.920054</v>
      </c>
      <c r="H123" s="11" t="s">
        <v>103</v>
      </c>
      <c r="I123" s="10" t="s">
        <v>19</v>
      </c>
      <c r="J123" s="50">
        <f>J122-J124</f>
        <v>42125.1</v>
      </c>
      <c r="K123" s="11">
        <f t="shared" si="30"/>
        <v>1.8801270501435</v>
      </c>
      <c r="L123" s="48" t="s">
        <v>20</v>
      </c>
      <c r="M123" s="22"/>
      <c r="N123" s="19"/>
      <c r="O123" s="19"/>
      <c r="P123" s="19"/>
      <c r="Q123" s="22"/>
      <c r="R123" s="22"/>
      <c r="S123" s="22"/>
      <c r="T123" s="31"/>
      <c r="U123" s="31"/>
      <c r="V123" s="31"/>
    </row>
    <row r="124" ht="22" customHeight="1" outlineLevel="2" spans="1:22">
      <c r="A124" s="14">
        <v>11</v>
      </c>
      <c r="B124" s="10" t="s">
        <v>104</v>
      </c>
      <c r="C124" s="44"/>
      <c r="D124" s="45"/>
      <c r="E124" s="45"/>
      <c r="F124" s="44">
        <f>[1]二期工程建设其它费用计算表!$D$26</f>
        <v>1.914687</v>
      </c>
      <c r="G124" s="11">
        <f t="shared" si="29"/>
        <v>1.914687</v>
      </c>
      <c r="H124" s="11" t="s">
        <v>105</v>
      </c>
      <c r="I124" s="10" t="s">
        <v>19</v>
      </c>
      <c r="J124" s="50">
        <f>J8</f>
        <v>3203.7</v>
      </c>
      <c r="K124" s="11">
        <f t="shared" si="30"/>
        <v>5.97648656241221</v>
      </c>
      <c r="L124" s="48" t="s">
        <v>20</v>
      </c>
      <c r="M124" s="22"/>
      <c r="N124" s="19"/>
      <c r="O124" s="19"/>
      <c r="P124" s="19"/>
      <c r="Q124" s="22"/>
      <c r="R124" s="22"/>
      <c r="S124" s="22"/>
      <c r="T124" s="31"/>
      <c r="U124" s="31"/>
      <c r="V124" s="31"/>
    </row>
    <row r="125" ht="21" customHeight="1" outlineLevel="2" spans="1:22">
      <c r="A125" s="14">
        <v>12</v>
      </c>
      <c r="B125" s="10" t="s">
        <v>106</v>
      </c>
      <c r="C125" s="44"/>
      <c r="D125" s="45"/>
      <c r="E125" s="45"/>
      <c r="F125" s="44">
        <f>[1]二期工程建设其它费用计算表!$D$27</f>
        <v>3.8076192</v>
      </c>
      <c r="G125" s="11">
        <f t="shared" si="29"/>
        <v>3.8076192</v>
      </c>
      <c r="H125" s="11" t="s">
        <v>18</v>
      </c>
      <c r="I125" s="10" t="s">
        <v>19</v>
      </c>
      <c r="J125" s="50">
        <f>J102</f>
        <v>45328.8</v>
      </c>
      <c r="K125" s="11">
        <f t="shared" si="30"/>
        <v>0.84</v>
      </c>
      <c r="L125" s="48" t="s">
        <v>20</v>
      </c>
      <c r="M125" s="22"/>
      <c r="N125" s="19"/>
      <c r="O125" s="19"/>
      <c r="P125" s="19"/>
      <c r="Q125" s="22"/>
      <c r="R125" s="22"/>
      <c r="S125" s="22"/>
      <c r="T125" s="31"/>
      <c r="U125" s="31"/>
      <c r="V125" s="31"/>
    </row>
    <row r="126" ht="21" customHeight="1" outlineLevel="2" spans="1:22">
      <c r="A126" s="14">
        <v>13</v>
      </c>
      <c r="B126" s="10" t="s">
        <v>107</v>
      </c>
      <c r="C126" s="44"/>
      <c r="D126" s="45"/>
      <c r="E126" s="45"/>
      <c r="F126" s="44">
        <f>[1]二期工程建设其它费用计算表!$D$28</f>
        <v>0.7705896</v>
      </c>
      <c r="G126" s="11">
        <f t="shared" si="29"/>
        <v>0.7705896</v>
      </c>
      <c r="H126" s="11" t="s">
        <v>18</v>
      </c>
      <c r="I126" s="10" t="s">
        <v>19</v>
      </c>
      <c r="J126" s="50">
        <f>J102</f>
        <v>45328.8</v>
      </c>
      <c r="K126" s="11">
        <f t="shared" si="30"/>
        <v>0.17</v>
      </c>
      <c r="L126" s="48" t="s">
        <v>20</v>
      </c>
      <c r="M126" s="22"/>
      <c r="N126" s="19"/>
      <c r="O126" s="19"/>
      <c r="P126" s="19"/>
      <c r="Q126" s="22"/>
      <c r="R126" s="22"/>
      <c r="S126" s="22"/>
      <c r="T126" s="31"/>
      <c r="U126" s="31"/>
      <c r="V126" s="31"/>
    </row>
    <row r="127" ht="21" customHeight="1" outlineLevel="2" spans="1:22">
      <c r="A127" s="14">
        <v>14</v>
      </c>
      <c r="B127" s="10" t="s">
        <v>108</v>
      </c>
      <c r="C127" s="44"/>
      <c r="D127" s="45"/>
      <c r="E127" s="45"/>
      <c r="F127" s="44">
        <f>[1]二期工程建设其它费用计算表!$D$29</f>
        <v>6.691728</v>
      </c>
      <c r="G127" s="11">
        <f t="shared" si="29"/>
        <v>6.691728</v>
      </c>
      <c r="H127" s="11" t="s">
        <v>18</v>
      </c>
      <c r="I127" s="10" t="s">
        <v>19</v>
      </c>
      <c r="J127" s="50">
        <f>J102</f>
        <v>45328.8</v>
      </c>
      <c r="K127" s="11">
        <f t="shared" si="30"/>
        <v>1.47626409699794</v>
      </c>
      <c r="L127" s="48" t="s">
        <v>20</v>
      </c>
      <c r="M127" s="22"/>
      <c r="N127" s="19"/>
      <c r="O127" s="19"/>
      <c r="P127" s="19"/>
      <c r="Q127" s="22"/>
      <c r="R127" s="22"/>
      <c r="S127" s="22"/>
      <c r="T127" s="31"/>
      <c r="U127" s="31"/>
      <c r="V127" s="31"/>
    </row>
    <row r="128" ht="21" customHeight="1" spans="1:22">
      <c r="A128" s="12" t="s">
        <v>109</v>
      </c>
      <c r="B128" s="12" t="s">
        <v>110</v>
      </c>
      <c r="C128" s="38" t="s">
        <v>111</v>
      </c>
      <c r="D128" s="39"/>
      <c r="E128" s="40"/>
      <c r="F128" s="13"/>
      <c r="G128" s="13">
        <f>(G5+G102)*3%</f>
        <v>723.453044203038</v>
      </c>
      <c r="H128" s="13" t="s">
        <v>18</v>
      </c>
      <c r="I128" s="23" t="s">
        <v>19</v>
      </c>
      <c r="J128" s="24">
        <f>J102</f>
        <v>45328.8</v>
      </c>
      <c r="K128" s="25">
        <f t="shared" si="30"/>
        <v>159.601190457951</v>
      </c>
      <c r="L128" s="26" t="s">
        <v>20</v>
      </c>
      <c r="M128" s="22"/>
      <c r="N128" s="47">
        <f>G128+G102+G5</f>
        <v>24838.5545176377</v>
      </c>
      <c r="O128" s="19"/>
      <c r="P128" s="47">
        <f>7000+8000*2+1838.55</f>
        <v>24838.55</v>
      </c>
      <c r="Q128" s="22"/>
      <c r="R128" s="22"/>
      <c r="S128" s="22"/>
      <c r="T128" s="31"/>
      <c r="U128" s="31"/>
      <c r="V128" s="31"/>
    </row>
    <row r="129" ht="21" customHeight="1" spans="1:22">
      <c r="A129" s="12" t="s">
        <v>112</v>
      </c>
      <c r="B129" s="12" t="s">
        <v>113</v>
      </c>
      <c r="C129" s="38"/>
      <c r="D129" s="39"/>
      <c r="E129" s="40"/>
      <c r="F129" s="13"/>
      <c r="G129" s="13">
        <f>G5+G102+G128</f>
        <v>24838.5545176377</v>
      </c>
      <c r="H129" s="13" t="s">
        <v>18</v>
      </c>
      <c r="I129" s="23" t="s">
        <v>19</v>
      </c>
      <c r="J129" s="24">
        <f>J128</f>
        <v>45328.8</v>
      </c>
      <c r="K129" s="25">
        <f t="shared" si="30"/>
        <v>5479.64087238966</v>
      </c>
      <c r="L129" s="26" t="s">
        <v>20</v>
      </c>
      <c r="M129" s="22"/>
      <c r="N129" s="19"/>
      <c r="O129" s="19"/>
      <c r="P129" s="19"/>
      <c r="Q129" s="22"/>
      <c r="R129" s="22"/>
      <c r="S129" s="22"/>
      <c r="T129" s="31"/>
      <c r="U129" s="31"/>
      <c r="V129" s="31"/>
    </row>
  </sheetData>
  <mergeCells count="38">
    <mergeCell ref="A1:L1"/>
    <mergeCell ref="A2:L2"/>
    <mergeCell ref="C3:G3"/>
    <mergeCell ref="H3:K3"/>
    <mergeCell ref="N6:P6"/>
    <mergeCell ref="Q6:S6"/>
    <mergeCell ref="T6:V6"/>
    <mergeCell ref="C102:E102"/>
    <mergeCell ref="C103:E103"/>
    <mergeCell ref="C104:E104"/>
    <mergeCell ref="C105:E105"/>
    <mergeCell ref="C106:E106"/>
    <mergeCell ref="C107:E107"/>
    <mergeCell ref="C108:E108"/>
    <mergeCell ref="C109:E109"/>
    <mergeCell ref="C110:E110"/>
    <mergeCell ref="C111:E111"/>
    <mergeCell ref="C112:E112"/>
    <mergeCell ref="C113:E113"/>
    <mergeCell ref="C114:E114"/>
    <mergeCell ref="C115:E115"/>
    <mergeCell ref="C116:E116"/>
    <mergeCell ref="C117:E117"/>
    <mergeCell ref="C118:E118"/>
    <mergeCell ref="C119:E119"/>
    <mergeCell ref="C120:E120"/>
    <mergeCell ref="C121:E121"/>
    <mergeCell ref="C122:E122"/>
    <mergeCell ref="C123:E123"/>
    <mergeCell ref="C124:E124"/>
    <mergeCell ref="C125:E125"/>
    <mergeCell ref="C126:E126"/>
    <mergeCell ref="C127:E127"/>
    <mergeCell ref="C128:E128"/>
    <mergeCell ref="C129:E129"/>
    <mergeCell ref="A3:A4"/>
    <mergeCell ref="B3:B4"/>
    <mergeCell ref="L3:L4"/>
  </mergeCells>
  <pageMargins left="0.751388888888889" right="0.751388888888889" top="1" bottom="1" header="0.5" footer="0.5"/>
  <pageSetup paperSize="9" scale="52" fitToHeight="0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二期工程投资概算表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刹华</cp:lastModifiedBy>
  <dcterms:created xsi:type="dcterms:W3CDTF">2023-12-14T06:45:00Z</dcterms:created>
  <dcterms:modified xsi:type="dcterms:W3CDTF">2024-12-16T09:08:27Z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2052-12.1.0.19302</vt:lpwstr>
  </property>
  <property fmtid="{D5CDD505-2E9C-101B-9397-08002B2CF9AE}" pid="3" name="ICV">
    <vt:lpwstr>8F4ADEC078E34217B4E4A784BDC61270_13</vt:lpwstr>
  </property>
  <property fmtid="{D5CDD505-2E9C-101B-9397-08002B2CF9AE}" pid="4" name="KSOReadingLayout">
    <vt:bool>true</vt:bool>
  </property>
</Properties>
</file>