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工程概算表01表" sheetId="2" r:id="rId1"/>
    <sheet name="工程建设其他费用计算表02表" sheetId="4" r:id="rId2"/>
    <sheet name="项目概算总投资简明表03表" sheetId="5" r:id="rId3"/>
    <sheet name="按费用性质划分主要经济指标表04表" sheetId="6" r:id="rId4"/>
    <sheet name="估算概算对比表" sheetId="15" r:id="rId5"/>
    <sheet name="估算概算指标对比表" sheetId="16" r:id="rId6"/>
    <sheet name="主要材料指标表" sheetId="12" r:id="rId7"/>
    <sheet name="资金计划表" sheetId="13" r:id="rId8"/>
  </sheets>
  <definedNames>
    <definedName name="_xlnm._FilterDatabase" localSheetId="0" hidden="1">工程概算表01表!$A$4:$T$92</definedName>
    <definedName name="_xlnm._FilterDatabase" localSheetId="4" hidden="1">估算概算对比表!$A$5:$T$93</definedName>
    <definedName name="_xlnm._FilterDatabase" localSheetId="5" hidden="1">估算概算指标对比表!$A$5:$T$93</definedName>
    <definedName name="_xlnm.Print_Titles" localSheetId="1">工程建设其他费用计算表02表!$1:$4</definedName>
    <definedName name="_xlnm.Print_Area" localSheetId="1">工程建设其他费用计算表02表!$A$1:$F$31</definedName>
    <definedName name="_xlnm.Print_Area" localSheetId="0">工程概算表01表!$A$1:$T$92</definedName>
    <definedName name="_xlnm.Print_Titles" localSheetId="0">工程概算表01表!$1:$5</definedName>
    <definedName name="_xlnm.Print_Area" localSheetId="7">资金计划表!$A$1:$F$12</definedName>
    <definedName name="_xlnm.Print_Area" localSheetId="4">估算概算对比表!$A$1:$T$101</definedName>
    <definedName name="_xlnm.Print_Titles" localSheetId="4">估算概算对比表!$1:$6</definedName>
    <definedName name="_xlnm.Print_Area" localSheetId="5">估算概算指标对比表!$A$1:$T$93</definedName>
    <definedName name="_xlnm.Print_Titles" localSheetId="5">估算概算指标对比表!$1:$6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D40D50EC89424DEC9FE787A0A7484F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954510" y="1600200"/>
          <a:ext cx="15897225" cy="20383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" name="ID_27CC447534C64F13AEF2C2D6D69333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954510" y="2209800"/>
          <a:ext cx="17002125" cy="19145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" name="ID_874AC4561BFF426BA1A2FACE06865F1B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002135" y="2819400"/>
          <a:ext cx="6924675" cy="679132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<sst xmlns="http://schemas.openxmlformats.org/spreadsheetml/2006/main" count="865" uniqueCount="279">
  <si>
    <t>工程总概算表</t>
  </si>
  <si>
    <t>项目名称：闽清县总医院金沙分院</t>
  </si>
  <si>
    <t>序
号</t>
  </si>
  <si>
    <t>工程或费用名称</t>
  </si>
  <si>
    <t>估算金额（万元）</t>
  </si>
  <si>
    <t>技术经济指标</t>
  </si>
  <si>
    <t>备注</t>
  </si>
  <si>
    <t>概算金额（万元）</t>
  </si>
  <si>
    <t>建筑
工程</t>
  </si>
  <si>
    <t>设备
购置</t>
  </si>
  <si>
    <t>安装
工程</t>
  </si>
  <si>
    <t>其他
费用</t>
  </si>
  <si>
    <t>合计</t>
  </si>
  <si>
    <t>单
位</t>
  </si>
  <si>
    <t>数量</t>
  </si>
  <si>
    <t>单位价值
(元)</t>
  </si>
  <si>
    <t>I</t>
  </si>
  <si>
    <t>工程费用</t>
  </si>
  <si>
    <t>m²</t>
  </si>
  <si>
    <t>一</t>
  </si>
  <si>
    <t>医疗综合楼</t>
  </si>
  <si>
    <t>基础工程</t>
  </si>
  <si>
    <t>一般土建</t>
  </si>
  <si>
    <t>外墙装饰装修</t>
  </si>
  <si>
    <t>含外窗</t>
  </si>
  <si>
    <t>室内装饰装修</t>
  </si>
  <si>
    <t>电气</t>
  </si>
  <si>
    <t>火灾报警</t>
  </si>
  <si>
    <t>给排水</t>
  </si>
  <si>
    <t>消防水</t>
  </si>
  <si>
    <t>弱电工程</t>
  </si>
  <si>
    <t>空调通风</t>
  </si>
  <si>
    <t>抗震支架</t>
  </si>
  <si>
    <t>医疗综合楼建安工程小计</t>
  </si>
  <si>
    <t>二</t>
  </si>
  <si>
    <t>地下室</t>
  </si>
  <si>
    <t>挡墙工程</t>
  </si>
  <si>
    <t>基坑支护及降水</t>
  </si>
  <si>
    <t>m</t>
  </si>
  <si>
    <t>土石方</t>
  </si>
  <si>
    <t>m³</t>
  </si>
  <si>
    <t>装饰装修</t>
  </si>
  <si>
    <t>给排水及消防</t>
  </si>
  <si>
    <t>通风</t>
  </si>
  <si>
    <t>地下室建安工程小计</t>
  </si>
  <si>
    <t>三</t>
  </si>
  <si>
    <t>公用工程</t>
  </si>
  <si>
    <t>变配电</t>
  </si>
  <si>
    <t>kVA</t>
  </si>
  <si>
    <t>柴油发电机组</t>
  </si>
  <si>
    <t>10KV电力外线</t>
  </si>
  <si>
    <t>项</t>
  </si>
  <si>
    <t>电梯（4层4站）（医用电梯）</t>
  </si>
  <si>
    <t>部</t>
  </si>
  <si>
    <t>电梯（4层4站）（普通电梯）</t>
  </si>
  <si>
    <t>污水处理站</t>
  </si>
  <si>
    <t>标识标志系统</t>
  </si>
  <si>
    <t>充电桩（快充）</t>
  </si>
  <si>
    <t>个</t>
  </si>
  <si>
    <t>充电桩（慢充）</t>
  </si>
  <si>
    <t>公用工程建安工程小计</t>
  </si>
  <si>
    <t>四</t>
  </si>
  <si>
    <t>室外配套工程</t>
  </si>
  <si>
    <t>道路广场及停车场</t>
  </si>
  <si>
    <t>绿化工程</t>
  </si>
  <si>
    <t>围墙</t>
  </si>
  <si>
    <t>大门</t>
  </si>
  <si>
    <t>电力管线</t>
  </si>
  <si>
    <t>给水管网</t>
  </si>
  <si>
    <t>污水管网</t>
  </si>
  <si>
    <t>室外配套工程建安工程小计</t>
  </si>
  <si>
    <t>五</t>
  </si>
  <si>
    <t>门卫</t>
  </si>
  <si>
    <t>土建工程</t>
  </si>
  <si>
    <t>安装工程</t>
  </si>
  <si>
    <t>门卫工程建安工程小计</t>
  </si>
  <si>
    <t>II</t>
  </si>
  <si>
    <t>工程建设其他费用</t>
  </si>
  <si>
    <t>（一）</t>
  </si>
  <si>
    <t>土地费用</t>
  </si>
  <si>
    <t>征地费</t>
  </si>
  <si>
    <t>地上附着物补偿费</t>
  </si>
  <si>
    <t>坟墓迁移补偿</t>
  </si>
  <si>
    <t>(二)</t>
  </si>
  <si>
    <t>建设管理费</t>
  </si>
  <si>
    <t>代建单位管理费</t>
  </si>
  <si>
    <t>建设工程监理费</t>
  </si>
  <si>
    <t>工程造价咨询服务费</t>
  </si>
  <si>
    <t>(三)</t>
  </si>
  <si>
    <t>建设项目前期工程咨询费</t>
  </si>
  <si>
    <t>可行性研究报告编制费</t>
  </si>
  <si>
    <t>(四)</t>
  </si>
  <si>
    <t>工程勘察设计费</t>
  </si>
  <si>
    <t>工程勘察费</t>
  </si>
  <si>
    <t>工程设计费</t>
  </si>
  <si>
    <t>(五)</t>
  </si>
  <si>
    <t>环境影响咨询服务费</t>
  </si>
  <si>
    <t>(六)</t>
  </si>
  <si>
    <t>地质灾害危险性评估费</t>
  </si>
  <si>
    <t>(七)</t>
  </si>
  <si>
    <t>劳动安全卫生评审费</t>
  </si>
  <si>
    <t>(八)</t>
  </si>
  <si>
    <t>建设场地准备费</t>
  </si>
  <si>
    <t>(九)</t>
  </si>
  <si>
    <t>工程保险费</t>
  </si>
  <si>
    <t>(十)</t>
  </si>
  <si>
    <t>招标代理服务费</t>
  </si>
  <si>
    <t>(十一)</t>
  </si>
  <si>
    <t>施工图设计审查费</t>
  </si>
  <si>
    <t>(十二)</t>
  </si>
  <si>
    <t>城市基础设施配套费</t>
  </si>
  <si>
    <t>(十三)</t>
  </si>
  <si>
    <t>防雷装置施工跟踪检测费</t>
  </si>
  <si>
    <t>(十四)</t>
  </si>
  <si>
    <t>消防工程检测检查费</t>
  </si>
  <si>
    <t>(十五)</t>
  </si>
  <si>
    <t>人防易地建设费</t>
  </si>
  <si>
    <t>(十六)</t>
  </si>
  <si>
    <t>第三方检测费</t>
  </si>
  <si>
    <t>(十七)</t>
  </si>
  <si>
    <t>工程款支付担保费</t>
  </si>
  <si>
    <t>工程建设其他费用小计</t>
  </si>
  <si>
    <t>III</t>
  </si>
  <si>
    <t>设备购置费</t>
  </si>
  <si>
    <t>办公设备购置</t>
  </si>
  <si>
    <t>智能化系统</t>
  </si>
  <si>
    <t>医疗设备购置费</t>
  </si>
  <si>
    <t>IV</t>
  </si>
  <si>
    <t>预备费</t>
  </si>
  <si>
    <t>基本预备费</t>
  </si>
  <si>
    <t>按工程费用及工程建设其他费用的5%估算</t>
  </si>
  <si>
    <t>按工程费用及工程建设其他费用的3%计算
[闽发改投资〔2011〕769号]</t>
  </si>
  <si>
    <t>V</t>
  </si>
  <si>
    <t>工程投资合计</t>
  </si>
  <si>
    <t>VI</t>
  </si>
  <si>
    <t>建设期利息</t>
  </si>
  <si>
    <t>VII</t>
  </si>
  <si>
    <t>项目建设投资</t>
  </si>
  <si>
    <t>概算与预算造价增减的主要原因说明</t>
  </si>
  <si>
    <t>1、初设图纸取消管桩基础，改为独立混凝土基础，造价核减</t>
  </si>
  <si>
    <t>2、初设图纸基坑支护范围减小，只有消防水池地下室范围，造价核减</t>
  </si>
  <si>
    <t>3、初设图纸地下室深化后含消防泵房，且消防水箱为不锈钢保温水箱，造价增加</t>
  </si>
  <si>
    <t>4、基本预备费概算阶段按3%计取调整，造价核减</t>
  </si>
  <si>
    <t>5、代建单位管理费和建设工程监理费原估算金额有误调整，造价核减</t>
  </si>
  <si>
    <t>6、可行性研究报告编制费、工程勘察费及工程设计费按实际发生金额调整，造价核减</t>
  </si>
  <si>
    <t>附表2.工程建设其他费用计算表</t>
  </si>
  <si>
    <t>工程建设其他费用计算表</t>
  </si>
  <si>
    <t>序号</t>
  </si>
  <si>
    <t>费用名称</t>
  </si>
  <si>
    <t>说明</t>
  </si>
  <si>
    <t>计算式</t>
  </si>
  <si>
    <t>金额（万元）</t>
  </si>
  <si>
    <t>根据“梅政综[2017]42号”文件计算</t>
  </si>
  <si>
    <t>0.4752*0.858*15*0.6+0.1357*2.145*15*0.6+0.1741*0.858*15*0.24</t>
  </si>
  <si>
    <t>总占地面积</t>
  </si>
  <si>
    <t>已征地面积</t>
  </si>
  <si>
    <t>根据“闽清县房屋征收补偿实施细则（2022年修订版）”文件计算</t>
  </si>
  <si>
    <t>（11385+7319+776+330+19490+240+4922+210+6375+818+3861+865）/10000</t>
  </si>
  <si>
    <t>（20*3200+20*2000）/10000</t>
  </si>
  <si>
    <t>根据“财建〔2016〕504 号”文件计算</t>
  </si>
  <si>
    <t>1000*2%+(4362.32-1000)*1.5%</t>
  </si>
  <si>
    <t>根据"闽监管协[2021]46号“文件下浮30%计算</t>
  </si>
  <si>
    <t>((4362.32-3000)/(5000-3000)*(120.8-78.1)+78.1)* 0.7</t>
  </si>
  <si>
    <t>根据"闽招协[2021]32号“文件计算</t>
  </si>
  <si>
    <t>(500*3.5/1000+(1000-500)*3.2/1000+(4362.32-1000 )*2.8/1000)*1.2+(500*3.8/1000+(1000-500)*3.5/1000+(4362.32-1000)*3.4/1000)*1.2</t>
  </si>
  <si>
    <t>含招标控制价编制及竣工结算审核</t>
  </si>
  <si>
    <t>按实际发生金额</t>
  </si>
  <si>
    <t>7.24+3.58</t>
  </si>
  <si>
    <t>根据“计价格〔2002〕125 号”文件计算</t>
  </si>
  <si>
    <t>((0.7174-0.3)/(2-0.3)*(4-2)+2)*0.6*0.8</t>
  </si>
  <si>
    <t>根据“发改价〔2006〕745 号”文件计算</t>
  </si>
  <si>
    <t>3*0.8*1*0.8*(1+20%)</t>
  </si>
  <si>
    <t>按工程费用的 0.1%概算</t>
  </si>
  <si>
    <t>4362.32*0.1%</t>
  </si>
  <si>
    <t>按工程费用的 0.5%概算</t>
  </si>
  <si>
    <t>4362.32*0.5%</t>
  </si>
  <si>
    <t>按工程费用的 0.3%概算</t>
  </si>
  <si>
    <t>4362.32*0.3%</t>
  </si>
  <si>
    <t>根据“闽招协[2021]32 号”文件计算</t>
  </si>
  <si>
    <t>(100*1%+(500-100)*0.7%+(1000-500)*0.55%+(4362.32-1000)*0.35%)*100%+100*1.5%+(500-100)*1.1%+(1000-500)*0.8%+(1495.7-1000)*0.5%</t>
  </si>
  <si>
    <t>根据“闽价服〔2012〕237 号”文件计算</t>
  </si>
  <si>
    <t xml:space="preserve">1000*2/1000+3000*1.5/1000+(4362.32-4000)*1/1000 </t>
  </si>
  <si>
    <t>根据“闽政〔2002〕53 号”文件计算</t>
  </si>
  <si>
    <t>6738.86*60/10000*0.5</t>
  </si>
  <si>
    <t>减半</t>
  </si>
  <si>
    <t>根据"闽价服[2015]242号”文件计算</t>
  </si>
  <si>
    <t>6738.86*0.55/10000</t>
  </si>
  <si>
    <t>根据“闽建消〔2019〕2 号”文件计算</t>
  </si>
  <si>
    <t>(112.65+71.48)*2%+47.62*3%</t>
  </si>
  <si>
    <t>根据“闽价费[2014]347 号”文件计算</t>
  </si>
  <si>
    <t>500*6377.23*6%/10000</t>
  </si>
  <si>
    <t>暂按建筑面积*50 元/平方考虑</t>
  </si>
  <si>
    <t>6738.86*50/10000</t>
  </si>
  <si>
    <t>根据“闽建[2023]4 号”文件计算</t>
  </si>
  <si>
    <t>4362.32*10%*0.7%*2</t>
  </si>
  <si>
    <t>附表3.项目概算总投资简明表</t>
  </si>
  <si>
    <t>项目概算总投资简明表</t>
  </si>
  <si>
    <t>费用/万元</t>
  </si>
  <si>
    <t>占比%</t>
  </si>
  <si>
    <t>占总投资比例</t>
  </si>
  <si>
    <t>占工程费用比例</t>
  </si>
  <si>
    <t>购置费</t>
  </si>
  <si>
    <t>工程静态总投资</t>
  </si>
  <si>
    <t>六</t>
  </si>
  <si>
    <t>七</t>
  </si>
  <si>
    <t>工程总投资</t>
  </si>
  <si>
    <t>附表4.按费用性质划分主要经济指标表</t>
  </si>
  <si>
    <t>按费用性质划分主要经济指标表</t>
  </si>
  <si>
    <t>投资额（万元）</t>
  </si>
  <si>
    <t>合计（万元)</t>
  </si>
  <si>
    <t>占比</t>
  </si>
  <si>
    <t>建筑工程</t>
  </si>
  <si>
    <t>设备及工器具购置费</t>
  </si>
  <si>
    <t>静态投资合计</t>
  </si>
  <si>
    <t>总投资合计</t>
  </si>
  <si>
    <t>附表5.工程估算与概算金额对比表</t>
  </si>
  <si>
    <t>工程估算与概算-金额对比表</t>
  </si>
  <si>
    <t>建设项目名称：闽清县总医院金沙分院</t>
  </si>
  <si>
    <t>概算与估算造价增减的主要原因说明
1、初设图纸取消管桩基础，改为独立混凝土基础，造价核减
2、初设图纸基坑支护范围减小，只有消防水池地下室范围，造价核减
3、初设图纸地下室深化后含消防泵房，且消防水箱为不锈钢保温水箱，造价增加
4、基本预备费概算阶段按3%计取调整，造价核减
5、代建单位管理费和建设工程监理费原估算金额有误调整，造价核减
6、可行性研究报告编制费、工程勘察费及工程设计费按实际发生金额调整，造价核减</t>
  </si>
  <si>
    <t>附表6.工程估算与概算指标对比表</t>
  </si>
  <si>
    <t>工程估算与概算-指标对比表</t>
  </si>
  <si>
    <t>附表7.主要材料指标表</t>
  </si>
  <si>
    <t>主要材料指标表</t>
  </si>
  <si>
    <t>材料名称</t>
  </si>
  <si>
    <t>单位</t>
  </si>
  <si>
    <t>工程量</t>
  </si>
  <si>
    <t>建筑面积</t>
  </si>
  <si>
    <t>工程量指标</t>
  </si>
  <si>
    <t>商品混凝土</t>
  </si>
  <si>
    <t>m3</t>
  </si>
  <si>
    <t>钢筋</t>
  </si>
  <si>
    <t>t</t>
  </si>
  <si>
    <t>水泥</t>
  </si>
  <si>
    <t>砂子</t>
  </si>
  <si>
    <t>砌块</t>
  </si>
  <si>
    <t>镀锌薄钢板</t>
  </si>
  <si>
    <t>m2</t>
  </si>
  <si>
    <t>地漏</t>
  </si>
  <si>
    <t>衬塑钢管</t>
  </si>
  <si>
    <t>焊接钢管</t>
  </si>
  <si>
    <t>镀锌钢管</t>
  </si>
  <si>
    <t>金属软管</t>
  </si>
  <si>
    <t>塑料管</t>
  </si>
  <si>
    <t>阀门</t>
  </si>
  <si>
    <t>洁具</t>
  </si>
  <si>
    <t>套</t>
  </si>
  <si>
    <t>灭火器</t>
  </si>
  <si>
    <t>消火栓箱</t>
  </si>
  <si>
    <t>火灾报警系统构件</t>
  </si>
  <si>
    <t>水表</t>
  </si>
  <si>
    <t>灯具</t>
  </si>
  <si>
    <t>开关插座</t>
  </si>
  <si>
    <t>镀锌扁钢</t>
  </si>
  <si>
    <t>电线电缆</t>
  </si>
  <si>
    <t>桥架</t>
  </si>
  <si>
    <t>配电箱</t>
  </si>
  <si>
    <t>台</t>
  </si>
  <si>
    <t>排气扇</t>
  </si>
  <si>
    <t>副</t>
  </si>
  <si>
    <t>附表8.项目总投资使用计划与资金筹措表</t>
  </si>
  <si>
    <t>项目总投资使用计划与资金筹措表</t>
  </si>
  <si>
    <t>项目</t>
  </si>
  <si>
    <t>合计（万元）</t>
  </si>
  <si>
    <t>建设期</t>
  </si>
  <si>
    <t>2025年</t>
  </si>
  <si>
    <t>2026年</t>
  </si>
  <si>
    <t>总投资</t>
  </si>
  <si>
    <t>征地费用</t>
  </si>
  <si>
    <t>1.2</t>
  </si>
  <si>
    <t>工程建设投资</t>
  </si>
  <si>
    <t>1.3</t>
  </si>
  <si>
    <t>专项债券利息</t>
  </si>
  <si>
    <t>年利率为4%,期限20年</t>
  </si>
  <si>
    <t>2</t>
  </si>
  <si>
    <t>资金筹措</t>
  </si>
  <si>
    <t>2.1</t>
  </si>
  <si>
    <t>工程项目资本金</t>
  </si>
  <si>
    <t>2.2</t>
  </si>
  <si>
    <t>专项债券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</si>
</sst>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;[Red]0.00"/>
    <numFmt numFmtId="179" formatCode="0.00_);[Red]\(0.00\)"/>
    <numFmt numFmtId="180" formatCode="0.000_);[Red]\(0.000\)"/>
  </numFmts>
  <fonts count="4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仿宋"/>
      <charset val="134"/>
    </font>
    <font>
      <sz val="9"/>
      <name val="仿宋"/>
      <charset val="134"/>
    </font>
    <font>
      <b/>
      <sz val="18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7" borderId="14" applyNumberFormat="0" applyAlignment="0" applyProtection="0">
      <alignment vertical="center"/>
    </xf>
    <xf numFmtId="0" fontId="30" fillId="7" borderId="13" applyNumberFormat="0" applyAlignment="0" applyProtection="0">
      <alignment vertical="center"/>
    </xf>
    <xf numFmtId="0" fontId="31" fillId="8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9" fillId="0" borderId="0"/>
  </cellStyleXfs>
  <cellXfs count="2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4" fillId="0" borderId="0" xfId="0" applyNumberFormat="1" applyFont="1" applyAlignment="1">
      <alignment vertical="center"/>
    </xf>
    <xf numFmtId="0" fontId="1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77" fontId="7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>
      <alignment vertical="center"/>
    </xf>
    <xf numFmtId="176" fontId="1" fillId="3" borderId="5" xfId="0" applyNumberFormat="1" applyFont="1" applyFill="1" applyBorder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>
      <alignment vertical="center"/>
    </xf>
    <xf numFmtId="176" fontId="1" fillId="4" borderId="5" xfId="0" applyNumberFormat="1" applyFont="1" applyFill="1" applyBorder="1" applyAlignment="1">
      <alignment horizontal="center" vertical="center"/>
    </xf>
    <xf numFmtId="176" fontId="0" fillId="4" borderId="5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4" fillId="0" borderId="5" xfId="0" applyFont="1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7" fontId="1" fillId="2" borderId="2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77" fontId="1" fillId="2" borderId="5" xfId="0" applyNumberFormat="1" applyFont="1" applyFill="1" applyBorder="1" applyAlignment="1">
      <alignment horizontal="center" vertical="center" wrapText="1"/>
    </xf>
    <xf numFmtId="176" fontId="1" fillId="2" borderId="5" xfId="0" applyNumberFormat="1" applyFont="1" applyFill="1" applyBorder="1" applyAlignment="1">
      <alignment horizontal="center" vertical="center" wrapText="1"/>
    </xf>
    <xf numFmtId="176" fontId="1" fillId="2" borderId="5" xfId="0" applyNumberFormat="1" applyFont="1" applyFill="1" applyBorder="1" applyAlignment="1">
      <alignment horizontal="center" vertical="center"/>
    </xf>
    <xf numFmtId="177" fontId="0" fillId="2" borderId="5" xfId="0" applyNumberFormat="1" applyFont="1" applyFill="1" applyBorder="1" applyAlignment="1">
      <alignment horizontal="center" vertical="center"/>
    </xf>
    <xf numFmtId="176" fontId="0" fillId="2" borderId="5" xfId="0" applyNumberFormat="1" applyFont="1" applyFill="1" applyBorder="1" applyAlignment="1">
      <alignment horizontal="center" vertical="center"/>
    </xf>
    <xf numFmtId="177" fontId="0" fillId="3" borderId="5" xfId="0" applyNumberFormat="1" applyFill="1" applyBorder="1" applyAlignment="1">
      <alignment horizontal="center" vertical="center"/>
    </xf>
    <xf numFmtId="177" fontId="0" fillId="0" borderId="5" xfId="0" applyNumberFormat="1" applyFill="1" applyBorder="1" applyAlignment="1">
      <alignment horizontal="center" vertical="center"/>
    </xf>
    <xf numFmtId="177" fontId="1" fillId="4" borderId="5" xfId="0" applyNumberFormat="1" applyFont="1" applyFill="1" applyBorder="1" applyAlignment="1">
      <alignment horizontal="center" vertical="center"/>
    </xf>
    <xf numFmtId="177" fontId="0" fillId="4" borderId="5" xfId="0" applyNumberFormat="1" applyFill="1" applyBorder="1" applyAlignment="1">
      <alignment horizontal="center" vertical="center"/>
    </xf>
    <xf numFmtId="177" fontId="1" fillId="3" borderId="5" xfId="0" applyNumberFormat="1" applyFont="1" applyFill="1" applyBorder="1" applyAlignment="1">
      <alignment horizontal="center" vertical="center"/>
    </xf>
    <xf numFmtId="177" fontId="0" fillId="2" borderId="5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4" borderId="5" xfId="0" applyNumberFormat="1" applyFont="1" applyFill="1" applyBorder="1" applyAlignment="1">
      <alignment horizontal="center" vertical="center"/>
    </xf>
    <xf numFmtId="176" fontId="0" fillId="4" borderId="6" xfId="0" applyNumberForma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176" fontId="1" fillId="3" borderId="6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center" vertical="center"/>
    </xf>
    <xf numFmtId="176" fontId="1" fillId="3" borderId="5" xfId="0" applyNumberFormat="1" applyFont="1" applyFill="1" applyBorder="1" applyAlignment="1">
      <alignment horizontal="left" vertical="center"/>
    </xf>
    <xf numFmtId="177" fontId="0" fillId="0" borderId="5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left" vertical="center"/>
    </xf>
    <xf numFmtId="177" fontId="0" fillId="0" borderId="5" xfId="0" applyNumberFormat="1" applyFont="1" applyFill="1" applyBorder="1" applyAlignment="1">
      <alignment horizontal="center" vertical="center" wrapText="1"/>
    </xf>
    <xf numFmtId="177" fontId="1" fillId="3" borderId="5" xfId="0" applyNumberFormat="1" applyFont="1" applyFill="1" applyBorder="1" applyAlignment="1">
      <alignment horizontal="left" vertical="center"/>
    </xf>
    <xf numFmtId="176" fontId="1" fillId="3" borderId="5" xfId="0" applyNumberFormat="1" applyFont="1" applyFill="1" applyBorder="1" applyAlignment="1">
      <alignment vertical="center"/>
    </xf>
    <xf numFmtId="177" fontId="1" fillId="3" borderId="8" xfId="0" applyNumberFormat="1" applyFont="1" applyFill="1" applyBorder="1" applyAlignment="1">
      <alignment horizontal="center" vertical="center"/>
    </xf>
    <xf numFmtId="176" fontId="1" fillId="3" borderId="8" xfId="0" applyNumberFormat="1" applyFont="1" applyFill="1" applyBorder="1" applyAlignment="1">
      <alignment horizontal="center" vertical="center"/>
    </xf>
    <xf numFmtId="176" fontId="1" fillId="3" borderId="8" xfId="0" applyNumberFormat="1" applyFont="1" applyFill="1" applyBorder="1" applyAlignment="1">
      <alignment vertical="center"/>
    </xf>
    <xf numFmtId="0" fontId="1" fillId="3" borderId="6" xfId="0" applyFont="1" applyFill="1" applyBorder="1" applyAlignment="1">
      <alignment horizontal="left" vertical="center"/>
    </xf>
    <xf numFmtId="176" fontId="0" fillId="0" borderId="5" xfId="0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77" fontId="0" fillId="0" borderId="5" xfId="0" applyNumberFormat="1" applyFont="1" applyFill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right" vertical="center"/>
    </xf>
    <xf numFmtId="10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78" fontId="10" fillId="0" borderId="0" xfId="0" applyNumberFormat="1" applyFont="1" applyFill="1" applyBorder="1" applyAlignment="1">
      <alignment horizontal="right" vertical="center"/>
    </xf>
    <xf numFmtId="10" fontId="10" fillId="0" borderId="0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8" fontId="10" fillId="0" borderId="5" xfId="0" applyNumberFormat="1" applyFont="1" applyFill="1" applyBorder="1" applyAlignment="1">
      <alignment horizontal="center" vertical="center"/>
    </xf>
    <xf numFmtId="10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/>
    </xf>
    <xf numFmtId="177" fontId="10" fillId="0" borderId="5" xfId="49" applyNumberFormat="1" applyFont="1" applyFill="1" applyBorder="1" applyAlignment="1">
      <alignment horizontal="center" vertical="center"/>
    </xf>
    <xf numFmtId="180" fontId="10" fillId="0" borderId="5" xfId="49" applyNumberFormat="1" applyFont="1" applyFill="1" applyBorder="1" applyAlignment="1">
      <alignment horizontal="center" vertical="center"/>
    </xf>
    <xf numFmtId="180" fontId="11" fillId="0" borderId="5" xfId="49" applyNumberFormat="1" applyFont="1" applyFill="1" applyBorder="1" applyAlignment="1">
      <alignment horizontal="center" vertical="center"/>
    </xf>
    <xf numFmtId="179" fontId="11" fillId="0" borderId="0" xfId="0" applyNumberFormat="1" applyFont="1" applyFill="1" applyBorder="1" applyAlignment="1">
      <alignment horizontal="center" vertical="center"/>
    </xf>
    <xf numFmtId="179" fontId="13" fillId="0" borderId="0" xfId="0" applyNumberFormat="1" applyFont="1" applyFill="1" applyBorder="1" applyAlignment="1">
      <alignment horizontal="left" vertical="center" wrapText="1"/>
    </xf>
    <xf numFmtId="179" fontId="11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center" vertical="center"/>
    </xf>
    <xf numFmtId="178" fontId="13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7" fontId="14" fillId="0" borderId="5" xfId="49" applyNumberFormat="1" applyFont="1" applyFill="1" applyBorder="1" applyAlignment="1">
      <alignment horizontal="center" vertical="center"/>
    </xf>
    <xf numFmtId="180" fontId="14" fillId="0" borderId="5" xfId="49" applyNumberFormat="1" applyFont="1" applyFill="1" applyBorder="1" applyAlignment="1">
      <alignment horizontal="center" vertical="center"/>
    </xf>
    <xf numFmtId="176" fontId="14" fillId="0" borderId="5" xfId="0" applyNumberFormat="1" applyFont="1" applyFill="1" applyBorder="1" applyAlignment="1">
      <alignment horizontal="center" vertical="center"/>
    </xf>
    <xf numFmtId="10" fontId="15" fillId="0" borderId="5" xfId="49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176" fontId="11" fillId="0" borderId="5" xfId="0" applyNumberFormat="1" applyFont="1" applyFill="1" applyBorder="1" applyAlignment="1">
      <alignment horizontal="center" vertical="center"/>
    </xf>
    <xf numFmtId="10" fontId="13" fillId="0" borderId="5" xfId="49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wrapText="1"/>
    </xf>
    <xf numFmtId="177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right" vertical="center" wrapText="1"/>
    </xf>
    <xf numFmtId="0" fontId="16" fillId="0" borderId="0" xfId="0" applyFont="1" applyFill="1" applyAlignment="1">
      <alignment wrapText="1"/>
    </xf>
    <xf numFmtId="177" fontId="18" fillId="0" borderId="0" xfId="0" applyNumberFormat="1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177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177" fontId="19" fillId="0" borderId="0" xfId="0" applyNumberFormat="1" applyFont="1" applyFill="1" applyBorder="1" applyAlignment="1">
      <alignment vertical="center"/>
    </xf>
    <xf numFmtId="177" fontId="19" fillId="0" borderId="0" xfId="0" applyNumberFormat="1" applyFont="1" applyFill="1" applyBorder="1" applyAlignment="1">
      <alignment horizontal="center" vertical="center" wrapText="1"/>
    </xf>
    <xf numFmtId="177" fontId="19" fillId="0" borderId="0" xfId="0" applyNumberFormat="1" applyFont="1" applyFill="1" applyBorder="1" applyAlignment="1">
      <alignment vertical="center" wrapText="1"/>
    </xf>
    <xf numFmtId="177" fontId="11" fillId="0" borderId="5" xfId="0" applyNumberFormat="1" applyFont="1" applyFill="1" applyBorder="1" applyAlignment="1">
      <alignment horizontal="center" vertical="center" wrapText="1"/>
    </xf>
    <xf numFmtId="176" fontId="11" fillId="0" borderId="5" xfId="0" applyNumberFormat="1" applyFont="1" applyFill="1" applyBorder="1" applyAlignment="1">
      <alignment horizontal="center" vertical="center" wrapText="1"/>
    </xf>
    <xf numFmtId="176" fontId="11" fillId="0" borderId="5" xfId="0" applyNumberFormat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177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7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left" vertical="center"/>
    </xf>
    <xf numFmtId="177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left" vertical="center"/>
    </xf>
    <xf numFmtId="177" fontId="1" fillId="0" borderId="5" xfId="0" applyNumberFormat="1" applyFont="1" applyFill="1" applyBorder="1" applyAlignment="1">
      <alignment horizontal="left" vertical="center"/>
    </xf>
    <xf numFmtId="176" fontId="1" fillId="0" borderId="5" xfId="0" applyNumberFormat="1" applyFont="1" applyFill="1" applyBorder="1" applyAlignment="1">
      <alignment vertical="center"/>
    </xf>
    <xf numFmtId="177" fontId="1" fillId="0" borderId="8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4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3" Type="http://schemas.openxmlformats.org/officeDocument/2006/relationships/image" Target="media/image3.png"/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www.wps.cn/officeDocument/2020/cellImage" Target="cellimag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T101"/>
  <sheetViews>
    <sheetView tabSelected="1" zoomScale="90" zoomScaleNormal="90" workbookViewId="0">
      <pane xSplit="2" ySplit="5" topLeftCell="C7" activePane="bottomRight" state="frozen"/>
      <selection/>
      <selection pane="topRight"/>
      <selection pane="bottomLeft"/>
      <selection pane="bottomRight" activeCell="A3" sqref="A3:A4"/>
    </sheetView>
  </sheetViews>
  <sheetFormatPr defaultColWidth="9" defaultRowHeight="13.5"/>
  <cols>
    <col min="1" max="1" width="6.625" style="1" customWidth="1"/>
    <col min="2" max="2" width="26.3666666666667" style="1" customWidth="1" collapsed="1"/>
    <col min="3" max="7" width="10.125" style="1" hidden="1" customWidth="1" outlineLevel="1"/>
    <col min="8" max="8" width="5.54166666666667" style="1" hidden="1" customWidth="1" outlineLevel="1"/>
    <col min="9" max="9" width="11.375" style="1" hidden="1" customWidth="1" outlineLevel="1"/>
    <col min="10" max="10" width="11.375" style="28" hidden="1" customWidth="1" outlineLevel="1"/>
    <col min="11" max="11" width="10.7583333333333" style="1" hidden="1" customWidth="1" outlineLevel="1"/>
    <col min="12" max="16" width="10.125" style="31" customWidth="1"/>
    <col min="17" max="17" width="6" style="1" customWidth="1"/>
    <col min="18" max="18" width="11.375" style="31" customWidth="1"/>
    <col min="19" max="19" width="14.2333333333333" style="31" customWidth="1"/>
    <col min="20" max="20" width="12.2833333333333" style="1" customWidth="1"/>
    <col min="21" max="21" width="9" style="1"/>
    <col min="22" max="22" width="14.125" style="1"/>
    <col min="23" max="16384" width="9" style="1"/>
  </cols>
  <sheetData>
    <row r="1" ht="30" customHeight="1" spans="1:20">
      <c r="A1" s="189" t="s">
        <v>0</v>
      </c>
      <c r="B1" s="190"/>
      <c r="C1" s="190"/>
      <c r="D1" s="190"/>
      <c r="E1" s="190"/>
      <c r="F1" s="190"/>
      <c r="G1" s="190"/>
      <c r="H1" s="190"/>
      <c r="I1" s="190"/>
      <c r="J1" s="202"/>
      <c r="K1" s="190"/>
      <c r="L1" s="203"/>
      <c r="M1" s="203"/>
      <c r="N1" s="203"/>
      <c r="O1" s="203"/>
      <c r="P1" s="203"/>
      <c r="Q1" s="190"/>
      <c r="R1" s="203"/>
      <c r="S1" s="203"/>
      <c r="T1" s="190"/>
    </row>
    <row r="2" ht="20" customHeight="1" spans="1:20">
      <c r="A2" s="191" t="s">
        <v>1</v>
      </c>
      <c r="B2" s="192"/>
      <c r="C2" s="192"/>
      <c r="D2" s="192"/>
      <c r="E2" s="192"/>
      <c r="F2" s="192"/>
      <c r="G2" s="192"/>
      <c r="H2" s="192"/>
      <c r="I2" s="192"/>
      <c r="J2" s="204"/>
      <c r="K2" s="192"/>
      <c r="L2" s="205"/>
      <c r="M2" s="205"/>
      <c r="N2" s="205"/>
      <c r="O2" s="205"/>
      <c r="P2" s="205"/>
      <c r="Q2" s="192"/>
      <c r="R2" s="205"/>
      <c r="S2" s="205"/>
      <c r="T2" s="192"/>
    </row>
    <row r="3" ht="21" customHeight="1" spans="1:20">
      <c r="A3" s="193" t="s">
        <v>2</v>
      </c>
      <c r="B3" s="194" t="s">
        <v>3</v>
      </c>
      <c r="C3" s="194" t="s">
        <v>4</v>
      </c>
      <c r="D3" s="194"/>
      <c r="E3" s="194"/>
      <c r="F3" s="194"/>
      <c r="G3" s="194"/>
      <c r="H3" s="194" t="s">
        <v>5</v>
      </c>
      <c r="I3" s="194"/>
      <c r="J3" s="206"/>
      <c r="K3" s="194" t="s">
        <v>6</v>
      </c>
      <c r="L3" s="207" t="s">
        <v>7</v>
      </c>
      <c r="M3" s="207"/>
      <c r="N3" s="207"/>
      <c r="O3" s="207"/>
      <c r="P3" s="207"/>
      <c r="Q3" s="194" t="s">
        <v>5</v>
      </c>
      <c r="R3" s="207"/>
      <c r="S3" s="207"/>
      <c r="T3" s="211" t="s">
        <v>6</v>
      </c>
    </row>
    <row r="4" ht="34" customHeight="1" spans="1:20">
      <c r="A4" s="195"/>
      <c r="B4" s="196"/>
      <c r="C4" s="197" t="s">
        <v>8</v>
      </c>
      <c r="D4" s="197" t="s">
        <v>9</v>
      </c>
      <c r="E4" s="197" t="s">
        <v>10</v>
      </c>
      <c r="F4" s="197" t="s">
        <v>11</v>
      </c>
      <c r="G4" s="196" t="s">
        <v>12</v>
      </c>
      <c r="H4" s="197" t="s">
        <v>13</v>
      </c>
      <c r="I4" s="196" t="s">
        <v>14</v>
      </c>
      <c r="J4" s="208" t="s">
        <v>15</v>
      </c>
      <c r="K4" s="196"/>
      <c r="L4" s="209" t="s">
        <v>8</v>
      </c>
      <c r="M4" s="209" t="s">
        <v>9</v>
      </c>
      <c r="N4" s="209" t="s">
        <v>10</v>
      </c>
      <c r="O4" s="209" t="s">
        <v>11</v>
      </c>
      <c r="P4" s="200" t="s">
        <v>12</v>
      </c>
      <c r="Q4" s="197" t="s">
        <v>13</v>
      </c>
      <c r="R4" s="200" t="s">
        <v>14</v>
      </c>
      <c r="S4" s="209" t="s">
        <v>15</v>
      </c>
      <c r="T4" s="212"/>
    </row>
    <row r="5" s="40" customFormat="1" ht="18" hidden="1" customHeight="1" spans="1:20">
      <c r="A5" s="107">
        <v>1</v>
      </c>
      <c r="B5" s="109">
        <v>2</v>
      </c>
      <c r="C5" s="109">
        <v>3</v>
      </c>
      <c r="D5" s="109">
        <v>4</v>
      </c>
      <c r="E5" s="109">
        <v>5</v>
      </c>
      <c r="F5" s="109">
        <v>6</v>
      </c>
      <c r="G5" s="109">
        <v>7</v>
      </c>
      <c r="H5" s="109">
        <v>8</v>
      </c>
      <c r="I5" s="109">
        <v>9</v>
      </c>
      <c r="J5" s="130">
        <v>10</v>
      </c>
      <c r="K5" s="109">
        <v>11</v>
      </c>
      <c r="L5" s="62">
        <v>3</v>
      </c>
      <c r="M5" s="62">
        <v>4</v>
      </c>
      <c r="N5" s="62">
        <v>5</v>
      </c>
      <c r="O5" s="62">
        <v>6</v>
      </c>
      <c r="P5" s="62">
        <v>7</v>
      </c>
      <c r="Q5" s="109">
        <v>8</v>
      </c>
      <c r="R5" s="62">
        <v>9</v>
      </c>
      <c r="S5" s="62">
        <v>10</v>
      </c>
      <c r="T5" s="126">
        <v>11</v>
      </c>
    </row>
    <row r="6" s="40" customFormat="1" ht="23" customHeight="1" spans="1:20">
      <c r="A6" s="198" t="s">
        <v>16</v>
      </c>
      <c r="B6" s="199" t="s">
        <v>17</v>
      </c>
      <c r="C6" s="200">
        <f>C55+C51+C42+C31+C19</f>
        <v>2942.98</v>
      </c>
      <c r="D6" s="200">
        <f>D55+D51+D42+D31+D19</f>
        <v>709.24</v>
      </c>
      <c r="E6" s="200">
        <f>E55+E51+E42+E31+E19</f>
        <v>756.44</v>
      </c>
      <c r="F6" s="200">
        <f>F55+F51+F42+F31+F19</f>
        <v>0</v>
      </c>
      <c r="G6" s="200">
        <f>G55+G51+G42+G31+G19</f>
        <v>4408.66</v>
      </c>
      <c r="H6" s="200" t="s">
        <v>18</v>
      </c>
      <c r="I6" s="200">
        <v>6668</v>
      </c>
      <c r="J6" s="200">
        <f>+G6/I6*10000</f>
        <v>6611.66766646671</v>
      </c>
      <c r="K6" s="200"/>
      <c r="L6" s="200">
        <f t="shared" ref="L6:P6" si="0">L55+L51+L42+L31+L19</f>
        <v>2697.5655</v>
      </c>
      <c r="M6" s="200">
        <f t="shared" si="0"/>
        <v>500.1412</v>
      </c>
      <c r="N6" s="200">
        <f t="shared" si="0"/>
        <v>1164.6122</v>
      </c>
      <c r="O6" s="200">
        <f t="shared" si="0"/>
        <v>0</v>
      </c>
      <c r="P6" s="200">
        <f t="shared" si="0"/>
        <v>4362.3189</v>
      </c>
      <c r="Q6" s="200" t="s">
        <v>18</v>
      </c>
      <c r="R6" s="200">
        <v>6738.86</v>
      </c>
      <c r="S6" s="200">
        <f>+P6/R6*10000</f>
        <v>6473.37813814206</v>
      </c>
      <c r="T6" s="96"/>
    </row>
    <row r="7" ht="23" customHeight="1" outlineLevel="1" spans="1:20">
      <c r="A7" s="198" t="s">
        <v>19</v>
      </c>
      <c r="B7" s="199" t="s">
        <v>20</v>
      </c>
      <c r="C7" s="61"/>
      <c r="D7" s="61"/>
      <c r="E7" s="61"/>
      <c r="F7" s="61"/>
      <c r="G7" s="61"/>
      <c r="H7" s="61"/>
      <c r="I7" s="61"/>
      <c r="J7" s="86"/>
      <c r="K7" s="61"/>
      <c r="L7" s="61"/>
      <c r="M7" s="61"/>
      <c r="N7" s="61"/>
      <c r="O7" s="61"/>
      <c r="P7" s="61"/>
      <c r="Q7" s="61"/>
      <c r="R7" s="61"/>
      <c r="S7" s="61"/>
      <c r="T7" s="96"/>
    </row>
    <row r="8" s="41" customFormat="1" ht="23" customHeight="1" outlineLevel="2" spans="1:20">
      <c r="A8" s="59">
        <v>1</v>
      </c>
      <c r="B8" s="60" t="s">
        <v>21</v>
      </c>
      <c r="C8" s="61">
        <v>0</v>
      </c>
      <c r="D8" s="61"/>
      <c r="E8" s="61"/>
      <c r="F8" s="61"/>
      <c r="G8" s="61">
        <f>SUM(C8:F8)</f>
        <v>0</v>
      </c>
      <c r="H8" s="62" t="s">
        <v>18</v>
      </c>
      <c r="I8" s="61">
        <v>6317</v>
      </c>
      <c r="J8" s="86">
        <f>+G8/I8*10000</f>
        <v>0</v>
      </c>
      <c r="K8" s="61"/>
      <c r="L8" s="61">
        <v>34.04</v>
      </c>
      <c r="M8" s="61"/>
      <c r="N8" s="61"/>
      <c r="O8" s="61"/>
      <c r="P8" s="61">
        <f>SUM(L8:O8)</f>
        <v>34.04</v>
      </c>
      <c r="Q8" s="62" t="str">
        <f>H8</f>
        <v>m²</v>
      </c>
      <c r="R8" s="61">
        <v>6377.23</v>
      </c>
      <c r="S8" s="61">
        <f>+P8/R8*10000</f>
        <v>53.377406805149</v>
      </c>
      <c r="T8" s="96"/>
    </row>
    <row r="9" s="41" customFormat="1" ht="23" customHeight="1" outlineLevel="2" spans="1:20">
      <c r="A9" s="59">
        <v>2</v>
      </c>
      <c r="B9" s="60" t="s">
        <v>22</v>
      </c>
      <c r="C9" s="61">
        <v>821.21</v>
      </c>
      <c r="D9" s="61"/>
      <c r="E9" s="61"/>
      <c r="F9" s="61"/>
      <c r="G9" s="61">
        <f t="shared" ref="G9:G18" si="1">SUM(C9:F9)</f>
        <v>821.21</v>
      </c>
      <c r="H9" s="62" t="s">
        <v>18</v>
      </c>
      <c r="I9" s="61">
        <v>6317</v>
      </c>
      <c r="J9" s="86">
        <f t="shared" ref="J9:J19" si="2">+G9/I9*10000</f>
        <v>1300</v>
      </c>
      <c r="K9" s="61"/>
      <c r="L9" s="61">
        <f>1007.92+3.286</f>
        <v>1011.206</v>
      </c>
      <c r="M9" s="61"/>
      <c r="N9" s="61"/>
      <c r="O9" s="61"/>
      <c r="P9" s="61">
        <f t="shared" ref="P9:P18" si="3">SUM(L9:O9)</f>
        <v>1011.206</v>
      </c>
      <c r="Q9" s="62" t="str">
        <f t="shared" ref="Q9:Q19" si="4">H9</f>
        <v>m²</v>
      </c>
      <c r="R9" s="61">
        <v>6377.23</v>
      </c>
      <c r="S9" s="61">
        <f t="shared" ref="S9:S19" si="5">+P9/R9*10000</f>
        <v>1585.65082331984</v>
      </c>
      <c r="T9" s="96"/>
    </row>
    <row r="10" s="41" customFormat="1" ht="23" customHeight="1" outlineLevel="2" spans="1:20">
      <c r="A10" s="59">
        <v>3</v>
      </c>
      <c r="B10" s="60" t="s">
        <v>23</v>
      </c>
      <c r="C10" s="61">
        <v>442.19</v>
      </c>
      <c r="D10" s="61"/>
      <c r="E10" s="61"/>
      <c r="F10" s="61"/>
      <c r="G10" s="61">
        <f t="shared" si="1"/>
        <v>442.19</v>
      </c>
      <c r="H10" s="62" t="s">
        <v>18</v>
      </c>
      <c r="I10" s="61">
        <v>6317</v>
      </c>
      <c r="J10" s="86">
        <f t="shared" si="2"/>
        <v>700</v>
      </c>
      <c r="K10" s="61"/>
      <c r="L10" s="61">
        <v>389.13</v>
      </c>
      <c r="M10" s="61"/>
      <c r="N10" s="61"/>
      <c r="O10" s="61"/>
      <c r="P10" s="61">
        <f t="shared" si="3"/>
        <v>389.13</v>
      </c>
      <c r="Q10" s="62" t="str">
        <f t="shared" si="4"/>
        <v>m²</v>
      </c>
      <c r="R10" s="61">
        <f>R9</f>
        <v>6377.23</v>
      </c>
      <c r="S10" s="61">
        <f t="shared" si="5"/>
        <v>610.1865543504</v>
      </c>
      <c r="T10" s="96" t="s">
        <v>24</v>
      </c>
    </row>
    <row r="11" s="41" customFormat="1" ht="23" customHeight="1" outlineLevel="2" spans="1:20">
      <c r="A11" s="59">
        <v>4</v>
      </c>
      <c r="B11" s="60" t="s">
        <v>25</v>
      </c>
      <c r="C11" s="61">
        <v>631.7</v>
      </c>
      <c r="D11" s="61"/>
      <c r="E11" s="61"/>
      <c r="F11" s="61"/>
      <c r="G11" s="61">
        <f t="shared" si="1"/>
        <v>631.7</v>
      </c>
      <c r="H11" s="62" t="s">
        <v>18</v>
      </c>
      <c r="I11" s="61">
        <v>6317</v>
      </c>
      <c r="J11" s="86">
        <f t="shared" si="2"/>
        <v>1000</v>
      </c>
      <c r="K11" s="61"/>
      <c r="L11" s="61">
        <v>807.025</v>
      </c>
      <c r="M11" s="61"/>
      <c r="N11" s="61"/>
      <c r="O11" s="61"/>
      <c r="P11" s="61">
        <f t="shared" si="3"/>
        <v>807.025</v>
      </c>
      <c r="Q11" s="62" t="str">
        <f t="shared" si="4"/>
        <v>m²</v>
      </c>
      <c r="R11" s="61">
        <f t="shared" ref="R11:R19" si="6">R10</f>
        <v>6377.23</v>
      </c>
      <c r="S11" s="61">
        <f t="shared" si="5"/>
        <v>1265.47889914587</v>
      </c>
      <c r="T11" s="96"/>
    </row>
    <row r="12" s="41" customFormat="1" ht="23" customHeight="1" outlineLevel="2" spans="1:20">
      <c r="A12" s="59">
        <v>5</v>
      </c>
      <c r="B12" s="60" t="s">
        <v>26</v>
      </c>
      <c r="C12" s="61"/>
      <c r="D12" s="61">
        <v>7.9</v>
      </c>
      <c r="E12" s="61">
        <v>150.03</v>
      </c>
      <c r="F12" s="61"/>
      <c r="G12" s="61">
        <f t="shared" si="1"/>
        <v>157.93</v>
      </c>
      <c r="H12" s="62" t="s">
        <v>18</v>
      </c>
      <c r="I12" s="61">
        <v>6317</v>
      </c>
      <c r="J12" s="86">
        <f t="shared" si="2"/>
        <v>250.007915149596</v>
      </c>
      <c r="K12" s="61"/>
      <c r="L12" s="61"/>
      <c r="M12" s="61"/>
      <c r="N12" s="61">
        <v>174.9403</v>
      </c>
      <c r="O12" s="61"/>
      <c r="P12" s="61">
        <f t="shared" si="3"/>
        <v>174.9403</v>
      </c>
      <c r="Q12" s="62" t="str">
        <f t="shared" si="4"/>
        <v>m²</v>
      </c>
      <c r="R12" s="61">
        <f t="shared" si="6"/>
        <v>6377.23</v>
      </c>
      <c r="S12" s="61">
        <f t="shared" si="5"/>
        <v>274.320198581516</v>
      </c>
      <c r="T12" s="96"/>
    </row>
    <row r="13" s="41" customFormat="1" ht="23" customHeight="1" outlineLevel="2" spans="1:20">
      <c r="A13" s="59">
        <v>6</v>
      </c>
      <c r="B13" s="60" t="s">
        <v>27</v>
      </c>
      <c r="C13" s="61"/>
      <c r="D13" s="61">
        <v>39.8</v>
      </c>
      <c r="E13" s="61">
        <v>73.91</v>
      </c>
      <c r="F13" s="61"/>
      <c r="G13" s="61">
        <f t="shared" si="1"/>
        <v>113.71</v>
      </c>
      <c r="H13" s="62" t="s">
        <v>18</v>
      </c>
      <c r="I13" s="61">
        <v>6317</v>
      </c>
      <c r="J13" s="86">
        <f t="shared" si="2"/>
        <v>180.006332119677</v>
      </c>
      <c r="K13" s="61"/>
      <c r="L13" s="61"/>
      <c r="M13" s="61">
        <v>7.2262</v>
      </c>
      <c r="N13" s="61">
        <v>105.4217</v>
      </c>
      <c r="O13" s="61"/>
      <c r="P13" s="61">
        <f t="shared" si="3"/>
        <v>112.6479</v>
      </c>
      <c r="Q13" s="62" t="str">
        <f t="shared" si="4"/>
        <v>m²</v>
      </c>
      <c r="R13" s="61">
        <f t="shared" si="6"/>
        <v>6377.23</v>
      </c>
      <c r="S13" s="61">
        <f t="shared" si="5"/>
        <v>176.640798591238</v>
      </c>
      <c r="T13" s="96"/>
    </row>
    <row r="14" s="41" customFormat="1" ht="23" customHeight="1" outlineLevel="2" spans="1:20">
      <c r="A14" s="59">
        <v>7</v>
      </c>
      <c r="B14" s="60" t="s">
        <v>28</v>
      </c>
      <c r="C14" s="61"/>
      <c r="D14" s="61">
        <v>0</v>
      </c>
      <c r="E14" s="61">
        <v>113.71</v>
      </c>
      <c r="F14" s="61"/>
      <c r="G14" s="61">
        <f t="shared" si="1"/>
        <v>113.71</v>
      </c>
      <c r="H14" s="62" t="s">
        <v>18</v>
      </c>
      <c r="I14" s="61">
        <v>6317</v>
      </c>
      <c r="J14" s="86">
        <f t="shared" si="2"/>
        <v>180.006332119677</v>
      </c>
      <c r="K14" s="61"/>
      <c r="L14" s="61"/>
      <c r="M14" s="61"/>
      <c r="N14" s="61">
        <v>105.8956</v>
      </c>
      <c r="O14" s="61"/>
      <c r="P14" s="61">
        <f t="shared" si="3"/>
        <v>105.8956</v>
      </c>
      <c r="Q14" s="62" t="str">
        <f t="shared" si="4"/>
        <v>m²</v>
      </c>
      <c r="R14" s="61">
        <f t="shared" si="6"/>
        <v>6377.23</v>
      </c>
      <c r="S14" s="61">
        <f t="shared" si="5"/>
        <v>166.052659226655</v>
      </c>
      <c r="T14" s="96"/>
    </row>
    <row r="15" s="41" customFormat="1" ht="23" customHeight="1" outlineLevel="2" spans="1:20">
      <c r="A15" s="59">
        <v>8</v>
      </c>
      <c r="B15" s="60" t="s">
        <v>29</v>
      </c>
      <c r="C15" s="61"/>
      <c r="D15" s="61">
        <v>11.37</v>
      </c>
      <c r="E15" s="61">
        <v>45.48</v>
      </c>
      <c r="F15" s="61"/>
      <c r="G15" s="61">
        <f t="shared" si="1"/>
        <v>56.85</v>
      </c>
      <c r="H15" s="62" t="s">
        <v>18</v>
      </c>
      <c r="I15" s="61">
        <v>6317</v>
      </c>
      <c r="J15" s="86">
        <f t="shared" si="2"/>
        <v>89.9952509102422</v>
      </c>
      <c r="K15" s="61"/>
      <c r="L15" s="61"/>
      <c r="M15" s="61">
        <v>6.7056</v>
      </c>
      <c r="N15" s="61">
        <v>64.7716</v>
      </c>
      <c r="O15" s="61"/>
      <c r="P15" s="61">
        <f t="shared" si="3"/>
        <v>71.4772</v>
      </c>
      <c r="Q15" s="62" t="str">
        <f t="shared" si="4"/>
        <v>m²</v>
      </c>
      <c r="R15" s="61">
        <f t="shared" si="6"/>
        <v>6377.23</v>
      </c>
      <c r="S15" s="61">
        <f t="shared" si="5"/>
        <v>112.081891354083</v>
      </c>
      <c r="T15" s="96"/>
    </row>
    <row r="16" s="41" customFormat="1" ht="23" customHeight="1" outlineLevel="2" spans="1:20">
      <c r="A16" s="59">
        <v>9</v>
      </c>
      <c r="B16" s="60" t="s">
        <v>30</v>
      </c>
      <c r="C16" s="61"/>
      <c r="D16" s="61">
        <v>151.61</v>
      </c>
      <c r="E16" s="61">
        <v>37.9</v>
      </c>
      <c r="F16" s="61"/>
      <c r="G16" s="61">
        <f t="shared" si="1"/>
        <v>189.51</v>
      </c>
      <c r="H16" s="62" t="s">
        <v>18</v>
      </c>
      <c r="I16" s="61">
        <v>6317</v>
      </c>
      <c r="J16" s="86">
        <f t="shared" si="2"/>
        <v>300</v>
      </c>
      <c r="K16" s="61"/>
      <c r="L16" s="61"/>
      <c r="M16" s="61">
        <v>32.3012</v>
      </c>
      <c r="N16" s="61">
        <v>85.3907</v>
      </c>
      <c r="O16" s="61"/>
      <c r="P16" s="61">
        <f t="shared" si="3"/>
        <v>117.6919</v>
      </c>
      <c r="Q16" s="62" t="str">
        <f t="shared" si="4"/>
        <v>m²</v>
      </c>
      <c r="R16" s="61">
        <f t="shared" si="6"/>
        <v>6377.23</v>
      </c>
      <c r="S16" s="61">
        <f t="shared" si="5"/>
        <v>184.550188718299</v>
      </c>
      <c r="T16" s="96"/>
    </row>
    <row r="17" s="41" customFormat="1" ht="23" customHeight="1" outlineLevel="2" spans="1:20">
      <c r="A17" s="59">
        <v>10</v>
      </c>
      <c r="B17" s="60" t="s">
        <v>31</v>
      </c>
      <c r="C17" s="61"/>
      <c r="D17" s="61">
        <v>126.02</v>
      </c>
      <c r="E17" s="61">
        <v>95.07</v>
      </c>
      <c r="F17" s="61"/>
      <c r="G17" s="61">
        <f t="shared" si="1"/>
        <v>221.09</v>
      </c>
      <c r="H17" s="62" t="s">
        <v>18</v>
      </c>
      <c r="I17" s="61">
        <v>6317</v>
      </c>
      <c r="J17" s="86">
        <f t="shared" si="2"/>
        <v>349.992084850404</v>
      </c>
      <c r="K17" s="61"/>
      <c r="L17" s="61"/>
      <c r="M17" s="61">
        <v>115.498</v>
      </c>
      <c r="N17" s="61">
        <v>104.0805</v>
      </c>
      <c r="O17" s="61"/>
      <c r="P17" s="61">
        <f t="shared" si="3"/>
        <v>219.5785</v>
      </c>
      <c r="Q17" s="62" t="str">
        <f t="shared" si="4"/>
        <v>m²</v>
      </c>
      <c r="R17" s="61">
        <f t="shared" si="6"/>
        <v>6377.23</v>
      </c>
      <c r="S17" s="61">
        <f t="shared" si="5"/>
        <v>344.316419511293</v>
      </c>
      <c r="T17" s="96"/>
    </row>
    <row r="18" s="41" customFormat="1" ht="23" customHeight="1" outlineLevel="2" spans="1:20">
      <c r="A18" s="59">
        <v>11</v>
      </c>
      <c r="B18" s="60" t="s">
        <v>32</v>
      </c>
      <c r="C18" s="61"/>
      <c r="D18" s="61"/>
      <c r="E18" s="61">
        <v>15.79</v>
      </c>
      <c r="F18" s="61"/>
      <c r="G18" s="61">
        <f t="shared" si="1"/>
        <v>15.79</v>
      </c>
      <c r="H18" s="62" t="s">
        <v>18</v>
      </c>
      <c r="I18" s="61">
        <v>6317</v>
      </c>
      <c r="J18" s="86">
        <f t="shared" si="2"/>
        <v>24.9960424252018</v>
      </c>
      <c r="K18" s="61"/>
      <c r="L18" s="61"/>
      <c r="M18" s="61"/>
      <c r="N18" s="61">
        <v>13.787</v>
      </c>
      <c r="O18" s="61"/>
      <c r="P18" s="61">
        <f t="shared" si="3"/>
        <v>13.787</v>
      </c>
      <c r="Q18" s="62" t="str">
        <f t="shared" si="4"/>
        <v>m²</v>
      </c>
      <c r="R18" s="61">
        <f t="shared" si="6"/>
        <v>6377.23</v>
      </c>
      <c r="S18" s="61">
        <f t="shared" si="5"/>
        <v>21.61910421923</v>
      </c>
      <c r="T18" s="96"/>
    </row>
    <row r="19" ht="23" customHeight="1" outlineLevel="2" spans="1:20">
      <c r="A19" s="198"/>
      <c r="B19" s="199" t="s">
        <v>33</v>
      </c>
      <c r="C19" s="200">
        <f>SUM(C9:C18)</f>
        <v>1895.1</v>
      </c>
      <c r="D19" s="200">
        <f>SUM(D9:D18)</f>
        <v>336.7</v>
      </c>
      <c r="E19" s="200">
        <f>SUM(E9:E18)</f>
        <v>531.89</v>
      </c>
      <c r="F19" s="61"/>
      <c r="G19" s="200">
        <f>SUM(G9:G18)</f>
        <v>2763.69</v>
      </c>
      <c r="H19" s="200" t="s">
        <v>18</v>
      </c>
      <c r="I19" s="200">
        <v>6317</v>
      </c>
      <c r="J19" s="210">
        <f t="shared" si="2"/>
        <v>4375.0039575748</v>
      </c>
      <c r="K19" s="61"/>
      <c r="L19" s="200">
        <f>SUM(L8:L18)</f>
        <v>2241.401</v>
      </c>
      <c r="M19" s="200">
        <f>SUM(M8:M18)</f>
        <v>161.731</v>
      </c>
      <c r="N19" s="200">
        <f>SUM(N8:N18)</f>
        <v>654.2874</v>
      </c>
      <c r="O19" s="200">
        <f>SUM(O8:O18)</f>
        <v>0</v>
      </c>
      <c r="P19" s="200">
        <f>SUM(P8:P18)</f>
        <v>3057.4194</v>
      </c>
      <c r="Q19" s="62" t="str">
        <f t="shared" si="4"/>
        <v>m²</v>
      </c>
      <c r="R19" s="61">
        <f t="shared" si="6"/>
        <v>6377.23</v>
      </c>
      <c r="S19" s="200">
        <f t="shared" si="5"/>
        <v>4794.27494382357</v>
      </c>
      <c r="T19" s="96"/>
    </row>
    <row r="20" ht="23" customHeight="1" outlineLevel="1" spans="1:20">
      <c r="A20" s="198" t="s">
        <v>34</v>
      </c>
      <c r="B20" s="199" t="s">
        <v>35</v>
      </c>
      <c r="C20" s="61"/>
      <c r="D20" s="61"/>
      <c r="E20" s="61"/>
      <c r="F20" s="61"/>
      <c r="G20" s="61"/>
      <c r="H20" s="61"/>
      <c r="I20" s="61"/>
      <c r="J20" s="86"/>
      <c r="K20" s="61"/>
      <c r="L20" s="61"/>
      <c r="M20" s="61"/>
      <c r="N20" s="61"/>
      <c r="O20" s="61"/>
      <c r="P20" s="61"/>
      <c r="Q20" s="61"/>
      <c r="R20" s="61"/>
      <c r="S20" s="61"/>
      <c r="T20" s="96"/>
    </row>
    <row r="21" s="41" customFormat="1" ht="23" customHeight="1" outlineLevel="2" spans="1:20">
      <c r="A21" s="59">
        <v>1</v>
      </c>
      <c r="B21" s="60" t="s">
        <v>21</v>
      </c>
      <c r="C21" s="61">
        <v>166.2</v>
      </c>
      <c r="D21" s="61"/>
      <c r="E21" s="61"/>
      <c r="F21" s="61"/>
      <c r="G21" s="61">
        <f>SUM(C21:F21)</f>
        <v>166.2</v>
      </c>
      <c r="H21" s="62" t="s">
        <v>18</v>
      </c>
      <c r="I21" s="61">
        <v>6648</v>
      </c>
      <c r="J21" s="86">
        <f>+G21/I21*10000</f>
        <v>250</v>
      </c>
      <c r="K21" s="61"/>
      <c r="L21" s="61">
        <v>12.643</v>
      </c>
      <c r="M21" s="61"/>
      <c r="N21" s="61"/>
      <c r="O21" s="61"/>
      <c r="P21" s="61">
        <f>SUM(L21:O21)</f>
        <v>12.643</v>
      </c>
      <c r="Q21" s="62" t="str">
        <f>H21</f>
        <v>m²</v>
      </c>
      <c r="R21" s="61">
        <v>329.94</v>
      </c>
      <c r="S21" s="61">
        <f>+P21/R21*10000</f>
        <v>383.190883190883</v>
      </c>
      <c r="T21" s="99"/>
    </row>
    <row r="22" s="41" customFormat="1" ht="23" customHeight="1" outlineLevel="2" spans="1:20">
      <c r="A22" s="59">
        <v>2</v>
      </c>
      <c r="B22" s="60" t="s">
        <v>36</v>
      </c>
      <c r="C22" s="61">
        <v>0</v>
      </c>
      <c r="D22" s="61"/>
      <c r="E22" s="61"/>
      <c r="F22" s="61"/>
      <c r="G22" s="61"/>
      <c r="H22" s="62"/>
      <c r="I22" s="61"/>
      <c r="J22" s="86"/>
      <c r="K22" s="61"/>
      <c r="L22" s="61">
        <f>563583/10000</f>
        <v>56.3583</v>
      </c>
      <c r="M22" s="61"/>
      <c r="N22" s="61"/>
      <c r="O22" s="61"/>
      <c r="P22" s="61">
        <f>SUM(L22:O22)</f>
        <v>56.3583</v>
      </c>
      <c r="Q22" s="62" t="s">
        <v>18</v>
      </c>
      <c r="R22" s="62">
        <v>6738.86</v>
      </c>
      <c r="S22" s="61">
        <f>+P22/R22*10000</f>
        <v>83.6318012245395</v>
      </c>
      <c r="T22" s="99"/>
    </row>
    <row r="23" s="41" customFormat="1" ht="23" customHeight="1" outlineLevel="2" spans="1:20">
      <c r="A23" s="59">
        <v>3</v>
      </c>
      <c r="B23" s="60" t="s">
        <v>37</v>
      </c>
      <c r="C23" s="61">
        <v>398.88</v>
      </c>
      <c r="D23" s="61"/>
      <c r="E23" s="61"/>
      <c r="F23" s="61"/>
      <c r="G23" s="61">
        <f t="shared" ref="G23:G33" si="7">SUM(C23:F23)</f>
        <v>398.88</v>
      </c>
      <c r="H23" s="61" t="s">
        <v>38</v>
      </c>
      <c r="I23" s="61">
        <v>997.2</v>
      </c>
      <c r="J23" s="86">
        <f t="shared" ref="J23:J29" si="8">+G23/I23*10000</f>
        <v>4000</v>
      </c>
      <c r="K23" s="61"/>
      <c r="L23" s="61">
        <f>158552/10000</f>
        <v>15.8552</v>
      </c>
      <c r="M23" s="61"/>
      <c r="N23" s="61"/>
      <c r="O23" s="61"/>
      <c r="P23" s="61">
        <f t="shared" ref="P23:P33" si="9">SUM(L23:O23)</f>
        <v>15.8552</v>
      </c>
      <c r="Q23" s="62" t="str">
        <f t="shared" ref="Q23:Q31" si="10">H23</f>
        <v>m</v>
      </c>
      <c r="R23" s="61">
        <f>73.9+1*2*4</f>
        <v>81.9</v>
      </c>
      <c r="S23" s="61">
        <f t="shared" ref="S23:S34" si="11">+P23/R23*10000</f>
        <v>1935.92185592186</v>
      </c>
      <c r="T23" s="96"/>
    </row>
    <row r="24" s="41" customFormat="1" ht="23" customHeight="1" outlineLevel="2" spans="1:20">
      <c r="A24" s="59">
        <v>4</v>
      </c>
      <c r="B24" s="60" t="s">
        <v>39</v>
      </c>
      <c r="C24" s="61">
        <v>17.87</v>
      </c>
      <c r="D24" s="61"/>
      <c r="E24" s="61"/>
      <c r="F24" s="61"/>
      <c r="G24" s="61">
        <f t="shared" si="7"/>
        <v>17.87</v>
      </c>
      <c r="H24" s="62" t="s">
        <v>40</v>
      </c>
      <c r="I24" s="61">
        <v>1489.5</v>
      </c>
      <c r="J24" s="86">
        <f t="shared" si="8"/>
        <v>119.973145350789</v>
      </c>
      <c r="K24" s="61"/>
      <c r="L24" s="61">
        <f>102092/10000</f>
        <v>10.2092</v>
      </c>
      <c r="M24" s="61"/>
      <c r="N24" s="61"/>
      <c r="O24" s="61"/>
      <c r="P24" s="61">
        <f t="shared" si="9"/>
        <v>10.2092</v>
      </c>
      <c r="Q24" s="62" t="str">
        <f t="shared" si="10"/>
        <v>m³</v>
      </c>
      <c r="R24" s="61">
        <v>3188.112</v>
      </c>
      <c r="S24" s="61">
        <f t="shared" si="11"/>
        <v>32.0227143839363</v>
      </c>
      <c r="T24" s="96"/>
    </row>
    <row r="25" s="41" customFormat="1" ht="23" customHeight="1" outlineLevel="2" spans="1:20">
      <c r="A25" s="59">
        <v>5</v>
      </c>
      <c r="B25" s="60" t="s">
        <v>22</v>
      </c>
      <c r="C25" s="61">
        <v>66.2</v>
      </c>
      <c r="D25" s="61"/>
      <c r="E25" s="61"/>
      <c r="F25" s="61"/>
      <c r="G25" s="61">
        <f t="shared" si="7"/>
        <v>66.2</v>
      </c>
      <c r="H25" s="62" t="s">
        <v>18</v>
      </c>
      <c r="I25" s="61">
        <v>331</v>
      </c>
      <c r="J25" s="86">
        <f t="shared" si="8"/>
        <v>2000</v>
      </c>
      <c r="K25" s="61"/>
      <c r="L25" s="61">
        <v>102.593</v>
      </c>
      <c r="M25" s="61"/>
      <c r="N25" s="61"/>
      <c r="O25" s="61"/>
      <c r="P25" s="61">
        <f t="shared" si="9"/>
        <v>102.593</v>
      </c>
      <c r="Q25" s="62" t="str">
        <f t="shared" si="10"/>
        <v>m²</v>
      </c>
      <c r="R25" s="61">
        <v>329.94</v>
      </c>
      <c r="S25" s="61">
        <f t="shared" si="11"/>
        <v>3109.44414135904</v>
      </c>
      <c r="T25" s="96"/>
    </row>
    <row r="26" s="41" customFormat="1" ht="23" customHeight="1" outlineLevel="2" spans="1:20">
      <c r="A26" s="59">
        <v>6</v>
      </c>
      <c r="B26" s="60" t="s">
        <v>41</v>
      </c>
      <c r="C26" s="61">
        <v>9.93</v>
      </c>
      <c r="D26" s="61"/>
      <c r="E26" s="61"/>
      <c r="F26" s="61"/>
      <c r="G26" s="61">
        <f t="shared" si="7"/>
        <v>9.93</v>
      </c>
      <c r="H26" s="62" t="s">
        <v>18</v>
      </c>
      <c r="I26" s="61">
        <v>331</v>
      </c>
      <c r="J26" s="86">
        <f t="shared" si="8"/>
        <v>300</v>
      </c>
      <c r="K26" s="61"/>
      <c r="L26" s="61">
        <f>139717/10000</f>
        <v>13.9717</v>
      </c>
      <c r="M26" s="61"/>
      <c r="N26" s="61"/>
      <c r="O26" s="61"/>
      <c r="P26" s="61">
        <f t="shared" si="9"/>
        <v>13.9717</v>
      </c>
      <c r="Q26" s="62" t="str">
        <f t="shared" si="10"/>
        <v>m²</v>
      </c>
      <c r="R26" s="61">
        <v>329.94</v>
      </c>
      <c r="S26" s="61">
        <f t="shared" si="11"/>
        <v>423.461841546948</v>
      </c>
      <c r="T26" s="96"/>
    </row>
    <row r="27" s="41" customFormat="1" ht="23" customHeight="1" outlineLevel="2" spans="1:20">
      <c r="A27" s="59">
        <v>7</v>
      </c>
      <c r="B27" s="60" t="s">
        <v>26</v>
      </c>
      <c r="C27" s="61"/>
      <c r="D27" s="61">
        <v>0.66</v>
      </c>
      <c r="E27" s="61">
        <v>5.96</v>
      </c>
      <c r="F27" s="61"/>
      <c r="G27" s="61">
        <f t="shared" si="7"/>
        <v>6.62</v>
      </c>
      <c r="H27" s="62" t="s">
        <v>18</v>
      </c>
      <c r="I27" s="61">
        <v>331</v>
      </c>
      <c r="J27" s="86">
        <f t="shared" si="8"/>
        <v>200</v>
      </c>
      <c r="K27" s="61"/>
      <c r="L27" s="61"/>
      <c r="M27" s="61">
        <v>0.863</v>
      </c>
      <c r="N27" s="61">
        <v>25.8595</v>
      </c>
      <c r="O27" s="61"/>
      <c r="P27" s="61">
        <f t="shared" si="9"/>
        <v>26.7225</v>
      </c>
      <c r="Q27" s="62" t="str">
        <f t="shared" si="10"/>
        <v>m²</v>
      </c>
      <c r="R27" s="61">
        <v>329.94</v>
      </c>
      <c r="S27" s="61">
        <f t="shared" si="11"/>
        <v>809.9199854519</v>
      </c>
      <c r="T27" s="96"/>
    </row>
    <row r="28" s="41" customFormat="1" ht="23" customHeight="1" outlineLevel="2" spans="1:20">
      <c r="A28" s="59">
        <v>8</v>
      </c>
      <c r="B28" s="60" t="s">
        <v>42</v>
      </c>
      <c r="C28" s="61"/>
      <c r="D28" s="61">
        <v>4.3</v>
      </c>
      <c r="E28" s="61">
        <v>2.32</v>
      </c>
      <c r="F28" s="61"/>
      <c r="G28" s="61">
        <f t="shared" si="7"/>
        <v>6.62</v>
      </c>
      <c r="H28" s="62" t="s">
        <v>18</v>
      </c>
      <c r="I28" s="61">
        <v>331</v>
      </c>
      <c r="J28" s="86">
        <f t="shared" si="8"/>
        <v>200</v>
      </c>
      <c r="K28" s="61"/>
      <c r="L28" s="61"/>
      <c r="M28" s="61">
        <f>(9994+164532)/10000</f>
        <v>17.4526</v>
      </c>
      <c r="N28" s="61">
        <f>476161/10000-M28</f>
        <v>30.1635</v>
      </c>
      <c r="O28" s="61"/>
      <c r="P28" s="61">
        <f t="shared" si="9"/>
        <v>47.6161</v>
      </c>
      <c r="Q28" s="62" t="str">
        <f t="shared" si="10"/>
        <v>m²</v>
      </c>
      <c r="R28" s="61">
        <v>329.94</v>
      </c>
      <c r="S28" s="61">
        <f t="shared" si="11"/>
        <v>1443.17451657877</v>
      </c>
      <c r="T28" s="96"/>
    </row>
    <row r="29" s="41" customFormat="1" ht="23" customHeight="1" outlineLevel="2" spans="1:20">
      <c r="A29" s="59">
        <v>9</v>
      </c>
      <c r="B29" s="60" t="s">
        <v>43</v>
      </c>
      <c r="C29" s="61"/>
      <c r="D29" s="61">
        <v>0.28</v>
      </c>
      <c r="E29" s="61">
        <v>1.37</v>
      </c>
      <c r="F29" s="61"/>
      <c r="G29" s="61">
        <f t="shared" si="7"/>
        <v>1.65</v>
      </c>
      <c r="H29" s="62" t="s">
        <v>18</v>
      </c>
      <c r="I29" s="61">
        <v>331</v>
      </c>
      <c r="J29" s="86">
        <f t="shared" si="8"/>
        <v>49.8489425981873</v>
      </c>
      <c r="K29" s="61"/>
      <c r="L29" s="61"/>
      <c r="M29" s="61">
        <v>0.44</v>
      </c>
      <c r="N29" s="61">
        <v>2.4887</v>
      </c>
      <c r="O29" s="61"/>
      <c r="P29" s="61">
        <f t="shared" si="9"/>
        <v>2.9287</v>
      </c>
      <c r="Q29" s="62" t="str">
        <f t="shared" si="10"/>
        <v>m²</v>
      </c>
      <c r="R29" s="61">
        <v>329.94</v>
      </c>
      <c r="S29" s="61">
        <f t="shared" si="11"/>
        <v>88.7646238710068</v>
      </c>
      <c r="T29" s="96"/>
    </row>
    <row r="30" s="41" customFormat="1" ht="23" customHeight="1" outlineLevel="2" spans="1:20">
      <c r="A30" s="59">
        <v>10</v>
      </c>
      <c r="B30" s="60" t="s">
        <v>32</v>
      </c>
      <c r="C30" s="61"/>
      <c r="D30" s="61"/>
      <c r="E30" s="61">
        <v>0.83</v>
      </c>
      <c r="F30" s="61"/>
      <c r="G30" s="61">
        <f t="shared" ref="G30:G41" si="12">SUM(C30:F30)</f>
        <v>0.83</v>
      </c>
      <c r="H30" s="62" t="s">
        <v>18</v>
      </c>
      <c r="I30" s="61">
        <v>331</v>
      </c>
      <c r="J30" s="86">
        <f t="shared" ref="J30:J41" si="13">+G30/I30*10000</f>
        <v>25.0755287009063</v>
      </c>
      <c r="K30" s="61"/>
      <c r="L30" s="61"/>
      <c r="M30" s="61"/>
      <c r="N30" s="61">
        <v>1.4194</v>
      </c>
      <c r="O30" s="61"/>
      <c r="P30" s="61">
        <f t="shared" ref="P30:P41" si="14">SUM(L30:O30)</f>
        <v>1.4194</v>
      </c>
      <c r="Q30" s="62" t="str">
        <f t="shared" si="10"/>
        <v>m²</v>
      </c>
      <c r="R30" s="61">
        <v>329.94</v>
      </c>
      <c r="S30" s="61">
        <f t="shared" si="11"/>
        <v>43.019943019943</v>
      </c>
      <c r="T30" s="96"/>
    </row>
    <row r="31" ht="23" customHeight="1" outlineLevel="2" spans="1:20">
      <c r="A31" s="59"/>
      <c r="B31" s="199" t="s">
        <v>44</v>
      </c>
      <c r="C31" s="200">
        <f>SUM(C21:C30)</f>
        <v>659.08</v>
      </c>
      <c r="D31" s="200">
        <f>SUM(D21:D30)</f>
        <v>5.24</v>
      </c>
      <c r="E31" s="200">
        <f>SUM(E21:E30)</f>
        <v>10.48</v>
      </c>
      <c r="F31" s="200"/>
      <c r="G31" s="200">
        <f>SUM(G21:G30)</f>
        <v>674.8</v>
      </c>
      <c r="H31" s="200" t="s">
        <v>18</v>
      </c>
      <c r="I31" s="200">
        <v>331</v>
      </c>
      <c r="J31" s="210">
        <f t="shared" si="13"/>
        <v>20386.7069486405</v>
      </c>
      <c r="K31" s="61"/>
      <c r="L31" s="200">
        <f>SUM(L21:L30)</f>
        <v>211.6304</v>
      </c>
      <c r="M31" s="200">
        <f>SUM(M21:M30)</f>
        <v>18.7556</v>
      </c>
      <c r="N31" s="200">
        <f>SUM(N21:N30)</f>
        <v>59.9311</v>
      </c>
      <c r="O31" s="200"/>
      <c r="P31" s="200">
        <f>SUM(P21:P30)</f>
        <v>290.3171</v>
      </c>
      <c r="Q31" s="62" t="str">
        <f t="shared" si="10"/>
        <v>m²</v>
      </c>
      <c r="R31" s="61">
        <v>329.94</v>
      </c>
      <c r="S31" s="200">
        <f t="shared" ref="S31:S41" si="15">+P31/R31*10000</f>
        <v>8799.0877129175</v>
      </c>
      <c r="T31" s="96"/>
    </row>
    <row r="32" ht="23" customHeight="1" outlineLevel="1" spans="1:20">
      <c r="A32" s="198" t="s">
        <v>45</v>
      </c>
      <c r="B32" s="199" t="s">
        <v>46</v>
      </c>
      <c r="C32" s="61"/>
      <c r="D32" s="61"/>
      <c r="E32" s="61"/>
      <c r="F32" s="61"/>
      <c r="G32" s="61"/>
      <c r="H32" s="61"/>
      <c r="I32" s="61"/>
      <c r="J32" s="86"/>
      <c r="K32" s="61"/>
      <c r="L32" s="61"/>
      <c r="M32" s="61"/>
      <c r="N32" s="61"/>
      <c r="O32" s="61"/>
      <c r="P32" s="61"/>
      <c r="Q32" s="61"/>
      <c r="R32" s="61"/>
      <c r="S32" s="61"/>
      <c r="T32" s="96"/>
    </row>
    <row r="33" s="41" customFormat="1" ht="23" customHeight="1" outlineLevel="2" spans="1:20">
      <c r="A33" s="59">
        <v>1</v>
      </c>
      <c r="B33" s="60" t="s">
        <v>47</v>
      </c>
      <c r="C33" s="61"/>
      <c r="D33" s="61">
        <v>226.8</v>
      </c>
      <c r="E33" s="61"/>
      <c r="F33" s="61"/>
      <c r="G33" s="61">
        <f t="shared" si="12"/>
        <v>226.8</v>
      </c>
      <c r="H33" s="61" t="s">
        <v>48</v>
      </c>
      <c r="I33" s="61">
        <v>1260</v>
      </c>
      <c r="J33" s="86">
        <f t="shared" si="13"/>
        <v>1800</v>
      </c>
      <c r="K33" s="61"/>
      <c r="L33" s="61"/>
      <c r="M33" s="61">
        <v>145.0334</v>
      </c>
      <c r="N33" s="61">
        <v>40.7172</v>
      </c>
      <c r="O33" s="61"/>
      <c r="P33" s="61">
        <f t="shared" si="14"/>
        <v>185.7506</v>
      </c>
      <c r="Q33" s="62" t="str">
        <f>H33</f>
        <v>kVA</v>
      </c>
      <c r="R33" s="61">
        <f>I33</f>
        <v>1260</v>
      </c>
      <c r="S33" s="61">
        <f t="shared" si="15"/>
        <v>1474.21111111111</v>
      </c>
      <c r="T33" s="96"/>
    </row>
    <row r="34" s="41" customFormat="1" ht="23" customHeight="1" outlineLevel="2" spans="1:20">
      <c r="A34" s="59">
        <v>2</v>
      </c>
      <c r="B34" s="60" t="s">
        <v>49</v>
      </c>
      <c r="C34" s="61"/>
      <c r="D34" s="61">
        <v>39</v>
      </c>
      <c r="E34" s="61"/>
      <c r="F34" s="61"/>
      <c r="G34" s="61">
        <f t="shared" si="12"/>
        <v>39</v>
      </c>
      <c r="H34" s="61" t="s">
        <v>48</v>
      </c>
      <c r="I34" s="61">
        <v>260</v>
      </c>
      <c r="J34" s="86">
        <f t="shared" si="13"/>
        <v>1500</v>
      </c>
      <c r="K34" s="61"/>
      <c r="L34" s="61"/>
      <c r="M34" s="61">
        <v>33.6888</v>
      </c>
      <c r="N34" s="61">
        <v>4.5241</v>
      </c>
      <c r="O34" s="61"/>
      <c r="P34" s="61">
        <f t="shared" si="14"/>
        <v>38.2129</v>
      </c>
      <c r="Q34" s="62" t="str">
        <f t="shared" ref="Q34:Q42" si="16">H34</f>
        <v>kVA</v>
      </c>
      <c r="R34" s="61">
        <f t="shared" ref="R34:R42" si="17">I34</f>
        <v>260</v>
      </c>
      <c r="S34" s="61">
        <f t="shared" si="15"/>
        <v>1469.72692307692</v>
      </c>
      <c r="T34" s="96"/>
    </row>
    <row r="35" s="41" customFormat="1" ht="23" customHeight="1" outlineLevel="2" spans="1:20">
      <c r="A35" s="59">
        <v>3</v>
      </c>
      <c r="B35" s="60" t="s">
        <v>50</v>
      </c>
      <c r="C35" s="61">
        <v>200</v>
      </c>
      <c r="D35" s="61"/>
      <c r="E35" s="61"/>
      <c r="F35" s="61"/>
      <c r="G35" s="61">
        <f t="shared" si="12"/>
        <v>200</v>
      </c>
      <c r="H35" s="61" t="s">
        <v>51</v>
      </c>
      <c r="I35" s="61">
        <v>1</v>
      </c>
      <c r="J35" s="86">
        <f t="shared" si="13"/>
        <v>2000000</v>
      </c>
      <c r="K35" s="61"/>
      <c r="L35" s="61"/>
      <c r="M35" s="61"/>
      <c r="N35" s="61">
        <v>200.8011</v>
      </c>
      <c r="O35" s="61"/>
      <c r="P35" s="61">
        <f t="shared" si="14"/>
        <v>200.8011</v>
      </c>
      <c r="Q35" s="62" t="str">
        <f t="shared" si="16"/>
        <v>项</v>
      </c>
      <c r="R35" s="61">
        <f t="shared" si="17"/>
        <v>1</v>
      </c>
      <c r="S35" s="61">
        <f t="shared" si="15"/>
        <v>2008011</v>
      </c>
      <c r="T35" s="96"/>
    </row>
    <row r="36" s="41" customFormat="1" ht="23" customHeight="1" outlineLevel="2" spans="1:20">
      <c r="A36" s="59">
        <v>4</v>
      </c>
      <c r="B36" s="60" t="s">
        <v>52</v>
      </c>
      <c r="C36" s="61"/>
      <c r="D36" s="61">
        <v>20</v>
      </c>
      <c r="E36" s="61"/>
      <c r="F36" s="61"/>
      <c r="G36" s="61">
        <f t="shared" si="12"/>
        <v>20</v>
      </c>
      <c r="H36" s="61" t="s">
        <v>53</v>
      </c>
      <c r="I36" s="61">
        <v>1</v>
      </c>
      <c r="J36" s="86">
        <f t="shared" si="13"/>
        <v>200000</v>
      </c>
      <c r="K36" s="61"/>
      <c r="L36" s="61"/>
      <c r="M36" s="61">
        <v>35.3486</v>
      </c>
      <c r="N36" s="61">
        <v>3.1814</v>
      </c>
      <c r="O36" s="61"/>
      <c r="P36" s="61">
        <f t="shared" si="14"/>
        <v>38.53</v>
      </c>
      <c r="Q36" s="62" t="str">
        <f t="shared" si="16"/>
        <v>部</v>
      </c>
      <c r="R36" s="61">
        <f t="shared" si="17"/>
        <v>1</v>
      </c>
      <c r="S36" s="61">
        <f t="shared" si="15"/>
        <v>385300</v>
      </c>
      <c r="T36" s="96"/>
    </row>
    <row r="37" s="41" customFormat="1" ht="23" customHeight="1" outlineLevel="2" spans="1:20">
      <c r="A37" s="59">
        <v>5</v>
      </c>
      <c r="B37" s="60" t="s">
        <v>54</v>
      </c>
      <c r="C37" s="61"/>
      <c r="D37" s="61">
        <v>12</v>
      </c>
      <c r="E37" s="61"/>
      <c r="F37" s="61"/>
      <c r="G37" s="61">
        <f t="shared" si="12"/>
        <v>12</v>
      </c>
      <c r="H37" s="61" t="s">
        <v>53</v>
      </c>
      <c r="I37" s="61">
        <v>1</v>
      </c>
      <c r="J37" s="86">
        <f t="shared" si="13"/>
        <v>120000</v>
      </c>
      <c r="K37" s="61"/>
      <c r="L37" s="61"/>
      <c r="M37" s="61">
        <v>23.5743</v>
      </c>
      <c r="N37" s="61">
        <v>2.1217</v>
      </c>
      <c r="O37" s="61"/>
      <c r="P37" s="61">
        <f t="shared" si="14"/>
        <v>25.696</v>
      </c>
      <c r="Q37" s="62" t="str">
        <f t="shared" si="16"/>
        <v>部</v>
      </c>
      <c r="R37" s="61">
        <f t="shared" si="17"/>
        <v>1</v>
      </c>
      <c r="S37" s="61">
        <f t="shared" si="15"/>
        <v>256960</v>
      </c>
      <c r="T37" s="96"/>
    </row>
    <row r="38" s="41" customFormat="1" ht="23" customHeight="1" outlineLevel="2" spans="1:20">
      <c r="A38" s="59">
        <v>6</v>
      </c>
      <c r="B38" s="60" t="s">
        <v>55</v>
      </c>
      <c r="C38" s="61"/>
      <c r="D38" s="61">
        <v>60</v>
      </c>
      <c r="E38" s="61"/>
      <c r="F38" s="61"/>
      <c r="G38" s="61">
        <f t="shared" si="12"/>
        <v>60</v>
      </c>
      <c r="H38" s="61" t="s">
        <v>51</v>
      </c>
      <c r="I38" s="61">
        <v>1</v>
      </c>
      <c r="J38" s="86">
        <f t="shared" si="13"/>
        <v>600000</v>
      </c>
      <c r="K38" s="61"/>
      <c r="L38" s="61"/>
      <c r="M38" s="61">
        <v>58</v>
      </c>
      <c r="N38" s="61">
        <v>5.785</v>
      </c>
      <c r="O38" s="61"/>
      <c r="P38" s="61">
        <f t="shared" si="14"/>
        <v>63.785</v>
      </c>
      <c r="Q38" s="62" t="str">
        <f t="shared" si="16"/>
        <v>项</v>
      </c>
      <c r="R38" s="61">
        <f t="shared" si="17"/>
        <v>1</v>
      </c>
      <c r="S38" s="61">
        <f t="shared" si="15"/>
        <v>637850</v>
      </c>
      <c r="T38" s="96"/>
    </row>
    <row r="39" s="41" customFormat="1" ht="23" customHeight="1" outlineLevel="2" spans="1:20">
      <c r="A39" s="59">
        <v>7</v>
      </c>
      <c r="B39" s="60" t="s">
        <v>56</v>
      </c>
      <c r="C39" s="61">
        <v>6.65</v>
      </c>
      <c r="D39" s="61"/>
      <c r="E39" s="61"/>
      <c r="F39" s="61"/>
      <c r="G39" s="61">
        <f t="shared" si="12"/>
        <v>6.65</v>
      </c>
      <c r="H39" s="61" t="s">
        <v>18</v>
      </c>
      <c r="I39" s="61">
        <v>6648</v>
      </c>
      <c r="J39" s="86">
        <f t="shared" si="13"/>
        <v>10.003008423586</v>
      </c>
      <c r="K39" s="61"/>
      <c r="L39" s="61">
        <f>66152/10000</f>
        <v>6.6152</v>
      </c>
      <c r="M39" s="61"/>
      <c r="N39" s="61"/>
      <c r="O39" s="61"/>
      <c r="P39" s="61">
        <f t="shared" si="14"/>
        <v>6.6152</v>
      </c>
      <c r="Q39" s="62" t="str">
        <f t="shared" si="16"/>
        <v>m²</v>
      </c>
      <c r="R39" s="61">
        <f>R22</f>
        <v>6738.86</v>
      </c>
      <c r="S39" s="61">
        <f t="shared" si="15"/>
        <v>9.81649715233734</v>
      </c>
      <c r="T39" s="96"/>
    </row>
    <row r="40" s="41" customFormat="1" ht="23" customHeight="1" outlineLevel="2" spans="1:20">
      <c r="A40" s="59">
        <v>8</v>
      </c>
      <c r="B40" s="60" t="s">
        <v>57</v>
      </c>
      <c r="C40" s="61"/>
      <c r="D40" s="61">
        <v>3.5</v>
      </c>
      <c r="E40" s="61"/>
      <c r="F40" s="61"/>
      <c r="G40" s="61">
        <f t="shared" si="12"/>
        <v>3.5</v>
      </c>
      <c r="H40" s="61" t="s">
        <v>58</v>
      </c>
      <c r="I40" s="61">
        <v>1</v>
      </c>
      <c r="J40" s="86">
        <f t="shared" si="13"/>
        <v>35000</v>
      </c>
      <c r="K40" s="61"/>
      <c r="L40" s="61"/>
      <c r="M40" s="61">
        <v>4.5872</v>
      </c>
      <c r="N40" s="61">
        <v>0.462899999999999</v>
      </c>
      <c r="O40" s="61"/>
      <c r="P40" s="61">
        <f t="shared" si="14"/>
        <v>5.0501</v>
      </c>
      <c r="Q40" s="62" t="str">
        <f t="shared" si="16"/>
        <v>个</v>
      </c>
      <c r="R40" s="61">
        <f t="shared" si="17"/>
        <v>1</v>
      </c>
      <c r="S40" s="61">
        <f t="shared" si="15"/>
        <v>50501</v>
      </c>
      <c r="T40" s="96"/>
    </row>
    <row r="41" s="41" customFormat="1" ht="23" customHeight="1" outlineLevel="2" spans="1:20">
      <c r="A41" s="59">
        <v>9</v>
      </c>
      <c r="B41" s="60" t="s">
        <v>59</v>
      </c>
      <c r="C41" s="61"/>
      <c r="D41" s="61">
        <v>6</v>
      </c>
      <c r="E41" s="61"/>
      <c r="F41" s="61"/>
      <c r="G41" s="61">
        <f t="shared" si="12"/>
        <v>6</v>
      </c>
      <c r="H41" s="61" t="s">
        <v>58</v>
      </c>
      <c r="I41" s="61">
        <v>4</v>
      </c>
      <c r="J41" s="86">
        <f t="shared" si="13"/>
        <v>15000</v>
      </c>
      <c r="K41" s="61"/>
      <c r="L41" s="61"/>
      <c r="M41" s="61">
        <v>4.4697</v>
      </c>
      <c r="N41" s="61">
        <v>0.6024</v>
      </c>
      <c r="O41" s="61"/>
      <c r="P41" s="61">
        <f t="shared" si="14"/>
        <v>5.0721</v>
      </c>
      <c r="Q41" s="62" t="str">
        <f t="shared" si="16"/>
        <v>个</v>
      </c>
      <c r="R41" s="61">
        <f t="shared" si="17"/>
        <v>4</v>
      </c>
      <c r="S41" s="61">
        <f t="shared" si="15"/>
        <v>12680.25</v>
      </c>
      <c r="T41" s="96"/>
    </row>
    <row r="42" ht="23" customHeight="1" outlineLevel="2" spans="1:20">
      <c r="A42" s="59"/>
      <c r="B42" s="199" t="s">
        <v>60</v>
      </c>
      <c r="C42" s="200">
        <f>SUM(C33:C41)</f>
        <v>206.65</v>
      </c>
      <c r="D42" s="200">
        <f>SUM(D33:D41)</f>
        <v>367.3</v>
      </c>
      <c r="E42" s="200">
        <f>SUM(E33:E41)</f>
        <v>0</v>
      </c>
      <c r="F42" s="61"/>
      <c r="G42" s="200">
        <f>SUM(G33:G41)</f>
        <v>573.95</v>
      </c>
      <c r="H42" s="61" t="s">
        <v>18</v>
      </c>
      <c r="I42" s="61">
        <v>1</v>
      </c>
      <c r="J42" s="86"/>
      <c r="K42" s="61"/>
      <c r="L42" s="200">
        <f t="shared" ref="L42:P42" si="18">SUM(L33:L41)</f>
        <v>6.6152</v>
      </c>
      <c r="M42" s="200">
        <f t="shared" si="18"/>
        <v>304.702</v>
      </c>
      <c r="N42" s="200">
        <f t="shared" si="18"/>
        <v>258.1958</v>
      </c>
      <c r="O42" s="200">
        <f t="shared" si="18"/>
        <v>0</v>
      </c>
      <c r="P42" s="200">
        <f t="shared" si="18"/>
        <v>569.513</v>
      </c>
      <c r="Q42" s="62" t="str">
        <f t="shared" si="16"/>
        <v>m²</v>
      </c>
      <c r="R42" s="61">
        <f t="shared" si="17"/>
        <v>1</v>
      </c>
      <c r="S42" s="61"/>
      <c r="T42" s="96"/>
    </row>
    <row r="43" ht="23" customHeight="1" outlineLevel="1" spans="1:20">
      <c r="A43" s="198" t="s">
        <v>61</v>
      </c>
      <c r="B43" s="199" t="s">
        <v>62</v>
      </c>
      <c r="C43" s="61"/>
      <c r="D43" s="61"/>
      <c r="E43" s="61"/>
      <c r="F43" s="61"/>
      <c r="G43" s="61"/>
      <c r="H43" s="61"/>
      <c r="I43" s="61"/>
      <c r="J43" s="86"/>
      <c r="K43" s="61"/>
      <c r="L43" s="61"/>
      <c r="M43" s="61"/>
      <c r="N43" s="61"/>
      <c r="O43" s="61"/>
      <c r="P43" s="61"/>
      <c r="Q43" s="61"/>
      <c r="R43" s="61"/>
      <c r="S43" s="61"/>
      <c r="T43" s="96"/>
    </row>
    <row r="44" s="41" customFormat="1" ht="23" customHeight="1" outlineLevel="2" spans="1:20">
      <c r="A44" s="59">
        <v>1</v>
      </c>
      <c r="B44" s="60" t="s">
        <v>63</v>
      </c>
      <c r="C44" s="61">
        <v>82.15</v>
      </c>
      <c r="D44" s="61"/>
      <c r="E44" s="61"/>
      <c r="F44" s="61"/>
      <c r="G44" s="61">
        <f t="shared" ref="G44:G47" si="19">SUM(C44:F44)</f>
        <v>82.15</v>
      </c>
      <c r="H44" s="62" t="s">
        <v>18</v>
      </c>
      <c r="I44" s="61">
        <v>2053.8</v>
      </c>
      <c r="J44" s="86">
        <f>+G44/I44*10000</f>
        <v>399.990261953452</v>
      </c>
      <c r="K44" s="61"/>
      <c r="L44" s="61">
        <f>947241/10000</f>
        <v>94.7241</v>
      </c>
      <c r="M44" s="61"/>
      <c r="N44" s="61"/>
      <c r="O44" s="61"/>
      <c r="P44" s="61">
        <f t="shared" ref="P44:P47" si="20">SUM(L44:O44)</f>
        <v>94.7241</v>
      </c>
      <c r="Q44" s="62" t="str">
        <f>H44</f>
        <v>m²</v>
      </c>
      <c r="R44" s="61">
        <v>3030</v>
      </c>
      <c r="S44" s="61">
        <f t="shared" ref="S44:S47" si="21">+P44/R44*10000</f>
        <v>312.620792079208</v>
      </c>
      <c r="T44" s="100"/>
    </row>
    <row r="45" s="41" customFormat="1" ht="23" customHeight="1" outlineLevel="2" spans="1:20">
      <c r="A45" s="59">
        <v>2</v>
      </c>
      <c r="B45" s="68" t="s">
        <v>64</v>
      </c>
      <c r="C45" s="61">
        <v>58</v>
      </c>
      <c r="D45" s="61"/>
      <c r="E45" s="61"/>
      <c r="F45" s="61"/>
      <c r="G45" s="61">
        <f t="shared" si="19"/>
        <v>58</v>
      </c>
      <c r="H45" s="62" t="s">
        <v>18</v>
      </c>
      <c r="I45" s="61">
        <v>2900</v>
      </c>
      <c r="J45" s="86">
        <f t="shared" ref="J44:J47" si="22">+G45/I45*10000</f>
        <v>200</v>
      </c>
      <c r="K45" s="61"/>
      <c r="L45" s="61">
        <f>556663/10000</f>
        <v>55.6663</v>
      </c>
      <c r="M45" s="61"/>
      <c r="N45" s="61"/>
      <c r="O45" s="61"/>
      <c r="P45" s="61">
        <f t="shared" si="20"/>
        <v>55.6663</v>
      </c>
      <c r="Q45" s="62" t="str">
        <f t="shared" ref="Q45:Q50" si="23">H45</f>
        <v>m²</v>
      </c>
      <c r="R45" s="61">
        <v>2749.6</v>
      </c>
      <c r="S45" s="61">
        <f t="shared" si="21"/>
        <v>202.45235670643</v>
      </c>
      <c r="T45" s="100"/>
    </row>
    <row r="46" s="41" customFormat="1" ht="23" customHeight="1" outlineLevel="2" spans="1:20">
      <c r="A46" s="59">
        <v>3</v>
      </c>
      <c r="B46" s="60" t="s">
        <v>65</v>
      </c>
      <c r="C46" s="61">
        <v>32</v>
      </c>
      <c r="D46" s="61"/>
      <c r="E46" s="61"/>
      <c r="F46" s="61"/>
      <c r="G46" s="61">
        <f t="shared" si="19"/>
        <v>32</v>
      </c>
      <c r="H46" s="62" t="s">
        <v>38</v>
      </c>
      <c r="I46" s="61">
        <v>320</v>
      </c>
      <c r="J46" s="86">
        <f t="shared" si="22"/>
        <v>1000</v>
      </c>
      <c r="K46" s="61"/>
      <c r="L46" s="61">
        <f>656234/10000</f>
        <v>65.6234</v>
      </c>
      <c r="M46" s="61"/>
      <c r="N46" s="61"/>
      <c r="O46" s="61"/>
      <c r="P46" s="61">
        <f t="shared" si="20"/>
        <v>65.6234</v>
      </c>
      <c r="Q46" s="62" t="str">
        <f t="shared" si="23"/>
        <v>m</v>
      </c>
      <c r="R46" s="61">
        <f>I46</f>
        <v>320</v>
      </c>
      <c r="S46" s="61">
        <f t="shared" si="21"/>
        <v>2050.73125</v>
      </c>
      <c r="T46" s="100"/>
    </row>
    <row r="47" s="41" customFormat="1" ht="23" customHeight="1" outlineLevel="2" spans="1:20">
      <c r="A47" s="59">
        <v>4</v>
      </c>
      <c r="B47" s="60" t="s">
        <v>66</v>
      </c>
      <c r="C47" s="61">
        <v>6</v>
      </c>
      <c r="D47" s="61"/>
      <c r="E47" s="61"/>
      <c r="F47" s="61"/>
      <c r="G47" s="61">
        <f t="shared" si="19"/>
        <v>6</v>
      </c>
      <c r="H47" s="62" t="s">
        <v>58</v>
      </c>
      <c r="I47" s="61">
        <v>1</v>
      </c>
      <c r="J47" s="86">
        <f t="shared" si="22"/>
        <v>60000</v>
      </c>
      <c r="K47" s="61"/>
      <c r="L47" s="61">
        <v>11.8861</v>
      </c>
      <c r="M47" s="61"/>
      <c r="N47" s="61"/>
      <c r="O47" s="61"/>
      <c r="P47" s="61">
        <f t="shared" si="20"/>
        <v>11.8861</v>
      </c>
      <c r="Q47" s="62" t="str">
        <f t="shared" si="23"/>
        <v>个</v>
      </c>
      <c r="R47" s="61">
        <f>I47</f>
        <v>1</v>
      </c>
      <c r="S47" s="61">
        <f t="shared" si="21"/>
        <v>118861</v>
      </c>
      <c r="T47" s="100"/>
    </row>
    <row r="48" s="41" customFormat="1" ht="23" customHeight="1" outlineLevel="2" spans="1:20">
      <c r="A48" s="59">
        <v>5</v>
      </c>
      <c r="B48" s="60" t="s">
        <v>67</v>
      </c>
      <c r="C48" s="61"/>
      <c r="D48" s="61"/>
      <c r="E48" s="61">
        <v>59.45</v>
      </c>
      <c r="F48" s="61"/>
      <c r="G48" s="61">
        <f t="shared" ref="G48:G54" si="24">SUM(C48:F48)</f>
        <v>59.45</v>
      </c>
      <c r="H48" s="62" t="s">
        <v>18</v>
      </c>
      <c r="I48" s="61">
        <v>4954</v>
      </c>
      <c r="J48" s="86">
        <f t="shared" ref="J48:J55" si="25">+G48/I48*10000</f>
        <v>120.004037141704</v>
      </c>
      <c r="K48" s="61"/>
      <c r="L48" s="61"/>
      <c r="M48" s="61">
        <v>12.7146</v>
      </c>
      <c r="N48" s="61">
        <v>55.9985</v>
      </c>
      <c r="O48" s="61"/>
      <c r="P48" s="61">
        <f t="shared" ref="P48:P54" si="26">SUM(L48:O48)</f>
        <v>68.7131</v>
      </c>
      <c r="Q48" s="62" t="str">
        <f t="shared" si="23"/>
        <v>m²</v>
      </c>
      <c r="R48" s="61">
        <f>R44+R45</f>
        <v>5779.6</v>
      </c>
      <c r="S48" s="61">
        <f t="shared" ref="S48:S55" si="27">+P48/R48*10000</f>
        <v>118.889023461831</v>
      </c>
      <c r="T48" s="100"/>
    </row>
    <row r="49" s="41" customFormat="1" ht="23" customHeight="1" outlineLevel="2" spans="1:20">
      <c r="A49" s="59">
        <v>6</v>
      </c>
      <c r="B49" s="60" t="s">
        <v>68</v>
      </c>
      <c r="C49" s="61"/>
      <c r="D49" s="61"/>
      <c r="E49" s="61">
        <v>49.54</v>
      </c>
      <c r="F49" s="61"/>
      <c r="G49" s="61">
        <f t="shared" si="24"/>
        <v>49.54</v>
      </c>
      <c r="H49" s="62" t="s">
        <v>18</v>
      </c>
      <c r="I49" s="61">
        <v>4954</v>
      </c>
      <c r="J49" s="86">
        <f t="shared" si="25"/>
        <v>100</v>
      </c>
      <c r="K49" s="61"/>
      <c r="L49" s="61"/>
      <c r="M49" s="61"/>
      <c r="N49" s="61">
        <v>48.7392</v>
      </c>
      <c r="O49" s="61"/>
      <c r="P49" s="61">
        <f t="shared" si="26"/>
        <v>48.7392</v>
      </c>
      <c r="Q49" s="62" t="str">
        <f t="shared" si="23"/>
        <v>m²</v>
      </c>
      <c r="R49" s="61">
        <f>R48</f>
        <v>5779.6</v>
      </c>
      <c r="S49" s="61">
        <f t="shared" si="27"/>
        <v>84.3297113987127</v>
      </c>
      <c r="T49" s="100"/>
    </row>
    <row r="50" s="41" customFormat="1" ht="23" customHeight="1" outlineLevel="2" spans="1:20">
      <c r="A50" s="59">
        <v>7</v>
      </c>
      <c r="B50" s="60" t="s">
        <v>69</v>
      </c>
      <c r="C50" s="61"/>
      <c r="D50" s="61"/>
      <c r="E50" s="61">
        <v>99.08</v>
      </c>
      <c r="F50" s="61"/>
      <c r="G50" s="61">
        <f t="shared" si="24"/>
        <v>99.08</v>
      </c>
      <c r="H50" s="62" t="s">
        <v>18</v>
      </c>
      <c r="I50" s="61">
        <v>4954</v>
      </c>
      <c r="J50" s="86">
        <f t="shared" si="25"/>
        <v>200</v>
      </c>
      <c r="K50" s="61"/>
      <c r="L50" s="61"/>
      <c r="M50" s="61">
        <v>2.238</v>
      </c>
      <c r="N50" s="61">
        <v>84.9779</v>
      </c>
      <c r="O50" s="61"/>
      <c r="P50" s="61">
        <f t="shared" si="26"/>
        <v>87.2159</v>
      </c>
      <c r="Q50" s="62" t="str">
        <f t="shared" si="23"/>
        <v>m²</v>
      </c>
      <c r="R50" s="61">
        <f>R49</f>
        <v>5779.6</v>
      </c>
      <c r="S50" s="61">
        <f t="shared" si="27"/>
        <v>150.903003668074</v>
      </c>
      <c r="T50" s="100"/>
    </row>
    <row r="51" ht="23" customHeight="1" outlineLevel="2" spans="1:20">
      <c r="A51" s="59"/>
      <c r="B51" s="201" t="s">
        <v>70</v>
      </c>
      <c r="C51" s="200">
        <f>SUM(C44:C50)</f>
        <v>178.15</v>
      </c>
      <c r="D51" s="61"/>
      <c r="E51" s="200">
        <f>SUM(E44:E50)</f>
        <v>208.07</v>
      </c>
      <c r="F51" s="61"/>
      <c r="G51" s="200">
        <f>SUM(G44:G50)</f>
        <v>386.22</v>
      </c>
      <c r="H51" s="61"/>
      <c r="I51" s="61"/>
      <c r="J51" s="86"/>
      <c r="K51" s="61"/>
      <c r="L51" s="200">
        <f>SUM(L44:L50)</f>
        <v>227.8999</v>
      </c>
      <c r="M51" s="200">
        <f>SUM(M44:M50)</f>
        <v>14.9526</v>
      </c>
      <c r="N51" s="200">
        <f>SUM(N44:N50)</f>
        <v>189.7156</v>
      </c>
      <c r="O51" s="61"/>
      <c r="P51" s="200">
        <f>SUM(P44:P50)</f>
        <v>432.5681</v>
      </c>
      <c r="Q51" s="61"/>
      <c r="R51" s="61"/>
      <c r="S51" s="61"/>
      <c r="T51" s="96"/>
    </row>
    <row r="52" ht="23" customHeight="1" outlineLevel="1" spans="1:20">
      <c r="A52" s="198" t="s">
        <v>71</v>
      </c>
      <c r="B52" s="199" t="s">
        <v>72</v>
      </c>
      <c r="C52" s="61"/>
      <c r="D52" s="61"/>
      <c r="E52" s="61"/>
      <c r="F52" s="61"/>
      <c r="G52" s="61"/>
      <c r="H52" s="61"/>
      <c r="I52" s="61"/>
      <c r="J52" s="86"/>
      <c r="K52" s="61"/>
      <c r="L52" s="61"/>
      <c r="M52" s="61"/>
      <c r="N52" s="61"/>
      <c r="O52" s="61"/>
      <c r="P52" s="61"/>
      <c r="Q52" s="61"/>
      <c r="R52" s="61"/>
      <c r="S52" s="61"/>
      <c r="T52" s="96"/>
    </row>
    <row r="53" s="41" customFormat="1" ht="23" customHeight="1" outlineLevel="2" spans="1:20">
      <c r="A53" s="59">
        <v>1</v>
      </c>
      <c r="B53" s="70" t="s">
        <v>73</v>
      </c>
      <c r="C53" s="61">
        <v>4</v>
      </c>
      <c r="D53" s="61"/>
      <c r="E53" s="61"/>
      <c r="F53" s="61"/>
      <c r="G53" s="61">
        <f t="shared" si="24"/>
        <v>4</v>
      </c>
      <c r="H53" s="62" t="s">
        <v>18</v>
      </c>
      <c r="I53" s="61">
        <v>20</v>
      </c>
      <c r="J53" s="86">
        <f t="shared" si="25"/>
        <v>2000</v>
      </c>
      <c r="K53" s="61"/>
      <c r="L53" s="61">
        <v>10.019</v>
      </c>
      <c r="M53" s="61"/>
      <c r="N53" s="61"/>
      <c r="O53" s="61"/>
      <c r="P53" s="61">
        <f t="shared" si="26"/>
        <v>10.019</v>
      </c>
      <c r="Q53" s="62" t="str">
        <f>H53</f>
        <v>m²</v>
      </c>
      <c r="R53" s="61">
        <v>29.69</v>
      </c>
      <c r="S53" s="61">
        <f t="shared" si="27"/>
        <v>3374.53688110475</v>
      </c>
      <c r="T53" s="100"/>
    </row>
    <row r="54" s="41" customFormat="1" ht="23" customHeight="1" outlineLevel="2" spans="1:20">
      <c r="A54" s="59">
        <v>2</v>
      </c>
      <c r="B54" s="70" t="s">
        <v>74</v>
      </c>
      <c r="C54" s="61"/>
      <c r="D54" s="61"/>
      <c r="E54" s="61">
        <v>6</v>
      </c>
      <c r="F54" s="61"/>
      <c r="G54" s="61">
        <f t="shared" si="24"/>
        <v>6</v>
      </c>
      <c r="H54" s="62" t="s">
        <v>18</v>
      </c>
      <c r="I54" s="61">
        <v>20</v>
      </c>
      <c r="J54" s="86">
        <f t="shared" si="25"/>
        <v>3000</v>
      </c>
      <c r="K54" s="61"/>
      <c r="L54" s="61"/>
      <c r="M54" s="61"/>
      <c r="N54" s="61">
        <v>2.4823</v>
      </c>
      <c r="O54" s="61"/>
      <c r="P54" s="61">
        <f t="shared" si="26"/>
        <v>2.4823</v>
      </c>
      <c r="Q54" s="62" t="str">
        <f>H54</f>
        <v>m²</v>
      </c>
      <c r="R54" s="61">
        <v>29.69</v>
      </c>
      <c r="S54" s="61">
        <f t="shared" si="27"/>
        <v>836.072751768272</v>
      </c>
      <c r="T54" s="100"/>
    </row>
    <row r="55" ht="23" customHeight="1" outlineLevel="2" spans="1:20">
      <c r="A55" s="59"/>
      <c r="B55" s="201" t="s">
        <v>75</v>
      </c>
      <c r="C55" s="200">
        <f t="shared" ref="C55:G55" si="28">SUM(C53:C54)</f>
        <v>4</v>
      </c>
      <c r="D55" s="61"/>
      <c r="E55" s="200">
        <f t="shared" si="28"/>
        <v>6</v>
      </c>
      <c r="F55" s="61"/>
      <c r="G55" s="200">
        <f t="shared" si="28"/>
        <v>10</v>
      </c>
      <c r="H55" s="61" t="s">
        <v>18</v>
      </c>
      <c r="I55" s="61">
        <v>20</v>
      </c>
      <c r="J55" s="210">
        <f t="shared" si="25"/>
        <v>5000</v>
      </c>
      <c r="K55" s="61"/>
      <c r="L55" s="200">
        <f>SUM(L53:L54)</f>
        <v>10.019</v>
      </c>
      <c r="M55" s="200">
        <f t="shared" ref="L55:N55" si="29">SUM(M53:M54)</f>
        <v>0</v>
      </c>
      <c r="N55" s="200">
        <f t="shared" si="29"/>
        <v>2.4823</v>
      </c>
      <c r="O55" s="61"/>
      <c r="P55" s="200">
        <f>SUM(P53:P54)</f>
        <v>12.5013</v>
      </c>
      <c r="Q55" s="61" t="s">
        <v>18</v>
      </c>
      <c r="R55" s="61">
        <v>29.69</v>
      </c>
      <c r="S55" s="200">
        <f t="shared" si="27"/>
        <v>4210.60963287302</v>
      </c>
      <c r="T55" s="96"/>
    </row>
    <row r="56" s="2" customFormat="1" ht="23" customHeight="1" spans="1:20">
      <c r="A56" s="198" t="s">
        <v>76</v>
      </c>
      <c r="B56" s="199" t="s">
        <v>77</v>
      </c>
      <c r="C56" s="200"/>
      <c r="D56" s="200"/>
      <c r="E56" s="200"/>
      <c r="F56" s="200">
        <f>F57+F61+F65+F67+F70+F71+F72+F73+F74+F75+F76+F77+F78+F79+F80+F81+F82</f>
        <v>641.48</v>
      </c>
      <c r="G56" s="200">
        <f>G57+G61+G65+G67+G70+G71+G72+G73+G74+G75+G76+G77+G78+G79+G80+G81+G82</f>
        <v>641.48</v>
      </c>
      <c r="H56" s="200"/>
      <c r="I56" s="200"/>
      <c r="J56" s="210"/>
      <c r="K56" s="200"/>
      <c r="L56" s="200"/>
      <c r="M56" s="200"/>
      <c r="N56" s="200"/>
      <c r="O56" s="200">
        <f ca="1">O57+O61+O65+O67+O70+O71+O72+O73+O74+O75+O76+O77+O78+O79+O80+O81+O82</f>
        <v>499.476959715294</v>
      </c>
      <c r="P56" s="200">
        <f ca="1">P57+P61+P65+P67+P70+P71+P72+P73+P74+P75+P76+P77+P78+P79+P80+P81+P82</f>
        <v>499.476959715294</v>
      </c>
      <c r="Q56" s="200"/>
      <c r="R56" s="200"/>
      <c r="S56" s="200"/>
      <c r="T56" s="213"/>
    </row>
    <row r="57" ht="23" customHeight="1" outlineLevel="1" spans="1:20">
      <c r="A57" s="59" t="s">
        <v>78</v>
      </c>
      <c r="B57" s="68" t="s">
        <v>79</v>
      </c>
      <c r="C57" s="74"/>
      <c r="D57" s="74"/>
      <c r="E57" s="74"/>
      <c r="F57" s="74">
        <f>SUM(F58:F60)</f>
        <v>22.89</v>
      </c>
      <c r="G57" s="74">
        <f t="shared" ref="G57:G66" si="30">SUM(C57:F57)</f>
        <v>22.89</v>
      </c>
      <c r="H57" s="74"/>
      <c r="I57" s="74"/>
      <c r="J57" s="86"/>
      <c r="K57" s="74"/>
      <c r="L57" s="61"/>
      <c r="M57" s="61"/>
      <c r="N57" s="61"/>
      <c r="O57" s="61">
        <f ca="1">工程建设其他费用计算表02表!E5</f>
        <v>22.88604298</v>
      </c>
      <c r="P57" s="61">
        <f ca="1" t="shared" ref="P57:P66" si="31">SUM(L57:O57)</f>
        <v>22.88604298</v>
      </c>
      <c r="Q57" s="74"/>
      <c r="R57" s="61"/>
      <c r="S57" s="61"/>
      <c r="T57" s="103"/>
    </row>
    <row r="58" s="41" customFormat="1" ht="23" customHeight="1" outlineLevel="2" spans="1:20">
      <c r="A58" s="59">
        <v>1</v>
      </c>
      <c r="B58" s="68" t="s">
        <v>80</v>
      </c>
      <c r="C58" s="74"/>
      <c r="D58" s="74"/>
      <c r="E58" s="74"/>
      <c r="F58" s="74">
        <v>6.83</v>
      </c>
      <c r="G58" s="74">
        <f t="shared" si="30"/>
        <v>6.83</v>
      </c>
      <c r="H58" s="74"/>
      <c r="I58" s="74"/>
      <c r="J58" s="86"/>
      <c r="K58" s="74"/>
      <c r="L58" s="61"/>
      <c r="M58" s="61"/>
      <c r="N58" s="61"/>
      <c r="O58" s="61">
        <f ca="1">工程建设其他费用计算表02表!E6</f>
        <v>6.82694298</v>
      </c>
      <c r="P58" s="61">
        <f ca="1" t="shared" si="31"/>
        <v>6.82694298</v>
      </c>
      <c r="Q58" s="74"/>
      <c r="R58" s="61"/>
      <c r="S58" s="61"/>
      <c r="T58" s="103"/>
    </row>
    <row r="59" s="41" customFormat="1" ht="23" customHeight="1" outlineLevel="2" spans="1:20">
      <c r="A59" s="59">
        <v>2</v>
      </c>
      <c r="B59" s="68" t="s">
        <v>81</v>
      </c>
      <c r="C59" s="74"/>
      <c r="D59" s="74"/>
      <c r="E59" s="74"/>
      <c r="F59" s="74">
        <v>5.66</v>
      </c>
      <c r="G59" s="74">
        <f t="shared" si="30"/>
        <v>5.66</v>
      </c>
      <c r="H59" s="74"/>
      <c r="I59" s="74"/>
      <c r="J59" s="86"/>
      <c r="K59" s="74"/>
      <c r="L59" s="61"/>
      <c r="M59" s="61"/>
      <c r="N59" s="61"/>
      <c r="O59" s="61">
        <f ca="1">工程建设其他费用计算表02表!E7</f>
        <v>5.6591</v>
      </c>
      <c r="P59" s="61">
        <f ca="1" t="shared" si="31"/>
        <v>5.6591</v>
      </c>
      <c r="Q59" s="74"/>
      <c r="R59" s="61"/>
      <c r="S59" s="61"/>
      <c r="T59" s="103"/>
    </row>
    <row r="60" s="41" customFormat="1" ht="23" customHeight="1" outlineLevel="2" spans="1:20">
      <c r="A60" s="59">
        <v>3</v>
      </c>
      <c r="B60" s="68" t="s">
        <v>82</v>
      </c>
      <c r="C60" s="74"/>
      <c r="D60" s="74"/>
      <c r="E60" s="74"/>
      <c r="F60" s="74">
        <v>10.4</v>
      </c>
      <c r="G60" s="74">
        <f t="shared" si="30"/>
        <v>10.4</v>
      </c>
      <c r="H60" s="74"/>
      <c r="I60" s="74"/>
      <c r="J60" s="86"/>
      <c r="K60" s="74"/>
      <c r="L60" s="61"/>
      <c r="M60" s="61"/>
      <c r="N60" s="61"/>
      <c r="O60" s="61">
        <f ca="1">工程建设其他费用计算表02表!E8</f>
        <v>10.4</v>
      </c>
      <c r="P60" s="61">
        <f ca="1" t="shared" si="31"/>
        <v>10.4</v>
      </c>
      <c r="Q60" s="74"/>
      <c r="R60" s="61"/>
      <c r="S60" s="61"/>
      <c r="T60" s="103"/>
    </row>
    <row r="61" ht="23" customHeight="1" outlineLevel="1" spans="1:20">
      <c r="A61" s="59" t="s">
        <v>83</v>
      </c>
      <c r="B61" s="68" t="s">
        <v>84</v>
      </c>
      <c r="C61" s="74"/>
      <c r="D61" s="74"/>
      <c r="E61" s="74"/>
      <c r="F61" s="74">
        <f>SUM(F62:F64)</f>
        <v>264.25</v>
      </c>
      <c r="G61" s="74">
        <f t="shared" si="30"/>
        <v>264.25</v>
      </c>
      <c r="H61" s="74"/>
      <c r="I61" s="74"/>
      <c r="J61" s="86"/>
      <c r="K61" s="74"/>
      <c r="L61" s="61"/>
      <c r="M61" s="61"/>
      <c r="N61" s="61"/>
      <c r="O61" s="61">
        <f ca="1">工程建设其他费用计算表02表!E9</f>
        <v>178.8803332</v>
      </c>
      <c r="P61" s="61">
        <f ca="1" t="shared" si="31"/>
        <v>178.8803332</v>
      </c>
      <c r="Q61" s="74"/>
      <c r="R61" s="61"/>
      <c r="S61" s="61"/>
      <c r="T61" s="103"/>
    </row>
    <row r="62" s="41" customFormat="1" ht="23" customHeight="1" outlineLevel="2" spans="1:20">
      <c r="A62" s="59">
        <v>1</v>
      </c>
      <c r="B62" s="68" t="s">
        <v>85</v>
      </c>
      <c r="C62" s="74"/>
      <c r="D62" s="74"/>
      <c r="E62" s="74"/>
      <c r="F62" s="74">
        <v>106.09</v>
      </c>
      <c r="G62" s="74">
        <f t="shared" si="30"/>
        <v>106.09</v>
      </c>
      <c r="H62" s="74"/>
      <c r="I62" s="74"/>
      <c r="J62" s="86"/>
      <c r="K62" s="74"/>
      <c r="L62" s="61"/>
      <c r="M62" s="61"/>
      <c r="N62" s="61"/>
      <c r="O62" s="61">
        <f ca="1">工程建设其他费用计算表02表!E10</f>
        <v>70.4348</v>
      </c>
      <c r="P62" s="61">
        <f ca="1" t="shared" si="31"/>
        <v>70.4348</v>
      </c>
      <c r="Q62" s="74"/>
      <c r="R62" s="61"/>
      <c r="S62" s="61"/>
      <c r="T62" s="103"/>
    </row>
    <row r="63" s="41" customFormat="1" ht="23" customHeight="1" outlineLevel="2" spans="1:20">
      <c r="A63" s="59">
        <v>2</v>
      </c>
      <c r="B63" s="68" t="s">
        <v>86</v>
      </c>
      <c r="C63" s="74"/>
      <c r="D63" s="74"/>
      <c r="E63" s="74"/>
      <c r="F63" s="74">
        <v>124.4</v>
      </c>
      <c r="G63" s="74">
        <f t="shared" si="30"/>
        <v>124.4</v>
      </c>
      <c r="H63" s="74"/>
      <c r="I63" s="74"/>
      <c r="J63" s="86"/>
      <c r="K63" s="74"/>
      <c r="L63" s="61"/>
      <c r="M63" s="61"/>
      <c r="N63" s="61"/>
      <c r="O63" s="61">
        <f ca="1">工程建设其他费用计算表02表!E11</f>
        <v>75.0298724</v>
      </c>
      <c r="P63" s="61">
        <f ca="1" t="shared" si="31"/>
        <v>75.0298724</v>
      </c>
      <c r="Q63" s="74"/>
      <c r="R63" s="61"/>
      <c r="S63" s="61"/>
      <c r="T63" s="103"/>
    </row>
    <row r="64" s="41" customFormat="1" ht="23" customHeight="1" outlineLevel="2" spans="1:20">
      <c r="A64" s="59">
        <v>3</v>
      </c>
      <c r="B64" s="68" t="s">
        <v>87</v>
      </c>
      <c r="C64" s="74"/>
      <c r="D64" s="74"/>
      <c r="E64" s="74"/>
      <c r="F64" s="74">
        <v>33.76</v>
      </c>
      <c r="G64" s="74">
        <f t="shared" si="30"/>
        <v>33.76</v>
      </c>
      <c r="H64" s="74"/>
      <c r="I64" s="74"/>
      <c r="J64" s="86"/>
      <c r="K64" s="74"/>
      <c r="L64" s="61"/>
      <c r="M64" s="61"/>
      <c r="N64" s="61"/>
      <c r="O64" s="61">
        <f ca="1">工程建设其他费用计算表02表!E12</f>
        <v>33.4156608</v>
      </c>
      <c r="P64" s="61">
        <f ca="1" t="shared" si="31"/>
        <v>33.4156608</v>
      </c>
      <c r="Q64" s="74"/>
      <c r="R64" s="61"/>
      <c r="S64" s="61"/>
      <c r="T64" s="103"/>
    </row>
    <row r="65" ht="23" customHeight="1" outlineLevel="1" spans="1:20">
      <c r="A65" s="59" t="s">
        <v>88</v>
      </c>
      <c r="B65" s="68" t="s">
        <v>89</v>
      </c>
      <c r="C65" s="74"/>
      <c r="D65" s="74"/>
      <c r="E65" s="74"/>
      <c r="F65" s="74">
        <f>SUM(F66:F66)</f>
        <v>17.23</v>
      </c>
      <c r="G65" s="74">
        <f t="shared" si="30"/>
        <v>17.23</v>
      </c>
      <c r="H65" s="74"/>
      <c r="I65" s="74"/>
      <c r="J65" s="86"/>
      <c r="K65" s="74"/>
      <c r="L65" s="61"/>
      <c r="M65" s="61"/>
      <c r="N65" s="61"/>
      <c r="O65" s="61">
        <f ca="1">工程建设其他费用计算表02表!E13</f>
        <v>10.82</v>
      </c>
      <c r="P65" s="61">
        <f ca="1" t="shared" si="31"/>
        <v>10.82</v>
      </c>
      <c r="Q65" s="74"/>
      <c r="R65" s="61"/>
      <c r="S65" s="61"/>
      <c r="T65" s="103"/>
    </row>
    <row r="66" s="41" customFormat="1" ht="23" customHeight="1" outlineLevel="2" spans="1:20">
      <c r="A66" s="59">
        <v>1</v>
      </c>
      <c r="B66" s="68" t="s">
        <v>90</v>
      </c>
      <c r="C66" s="74"/>
      <c r="D66" s="74"/>
      <c r="E66" s="74"/>
      <c r="F66" s="74">
        <v>17.23</v>
      </c>
      <c r="G66" s="74">
        <f t="shared" si="30"/>
        <v>17.23</v>
      </c>
      <c r="H66" s="74"/>
      <c r="I66" s="74"/>
      <c r="J66" s="86"/>
      <c r="K66" s="74"/>
      <c r="L66" s="61"/>
      <c r="M66" s="61"/>
      <c r="N66" s="61"/>
      <c r="O66" s="61">
        <f ca="1">工程建设其他费用计算表02表!E14</f>
        <v>10.82</v>
      </c>
      <c r="P66" s="61">
        <f ca="1" t="shared" si="31"/>
        <v>10.82</v>
      </c>
      <c r="Q66" s="74"/>
      <c r="R66" s="61"/>
      <c r="S66" s="61"/>
      <c r="T66" s="103"/>
    </row>
    <row r="67" ht="23" customHeight="1" outlineLevel="1" spans="1:20">
      <c r="A67" s="59" t="s">
        <v>91</v>
      </c>
      <c r="B67" s="68" t="s">
        <v>92</v>
      </c>
      <c r="C67" s="74"/>
      <c r="D67" s="74"/>
      <c r="E67" s="74"/>
      <c r="F67" s="74">
        <f>SUM(F68:F69)</f>
        <v>181.4</v>
      </c>
      <c r="G67" s="74">
        <f t="shared" ref="G67:G83" si="32">SUM(C67:F67)</f>
        <v>181.4</v>
      </c>
      <c r="H67" s="74"/>
      <c r="I67" s="74"/>
      <c r="J67" s="86"/>
      <c r="K67" s="74"/>
      <c r="L67" s="61"/>
      <c r="M67" s="61"/>
      <c r="N67" s="61"/>
      <c r="O67" s="61">
        <f ca="1">工程建设其他费用计算表02表!E15</f>
        <v>121.9394</v>
      </c>
      <c r="P67" s="61">
        <f ca="1" t="shared" ref="P67:P91" si="33">SUM(L67:O67)</f>
        <v>121.9394</v>
      </c>
      <c r="Q67" s="74"/>
      <c r="R67" s="61"/>
      <c r="S67" s="61"/>
      <c r="T67" s="103"/>
    </row>
    <row r="68" s="41" customFormat="1" ht="23" customHeight="1" outlineLevel="2" spans="1:20">
      <c r="A68" s="59">
        <v>1</v>
      </c>
      <c r="B68" s="68" t="s">
        <v>93</v>
      </c>
      <c r="C68" s="74"/>
      <c r="D68" s="74"/>
      <c r="E68" s="74"/>
      <c r="F68" s="74">
        <v>35.27</v>
      </c>
      <c r="G68" s="74">
        <f t="shared" si="32"/>
        <v>35.27</v>
      </c>
      <c r="H68" s="74"/>
      <c r="I68" s="74"/>
      <c r="J68" s="86"/>
      <c r="K68" s="74"/>
      <c r="L68" s="61"/>
      <c r="M68" s="61"/>
      <c r="N68" s="61"/>
      <c r="O68" s="61">
        <f ca="1">工程建设其他费用计算表02表!E16</f>
        <v>25</v>
      </c>
      <c r="P68" s="61">
        <f ca="1" t="shared" si="33"/>
        <v>25</v>
      </c>
      <c r="Q68" s="74"/>
      <c r="R68" s="61"/>
      <c r="S68" s="61"/>
      <c r="T68" s="103"/>
    </row>
    <row r="69" s="41" customFormat="1" ht="23" customHeight="1" outlineLevel="2" spans="1:20">
      <c r="A69" s="59">
        <v>2</v>
      </c>
      <c r="B69" s="68" t="s">
        <v>94</v>
      </c>
      <c r="C69" s="74"/>
      <c r="D69" s="74"/>
      <c r="E69" s="74"/>
      <c r="F69" s="74">
        <v>146.13</v>
      </c>
      <c r="G69" s="74">
        <f t="shared" si="32"/>
        <v>146.13</v>
      </c>
      <c r="H69" s="74"/>
      <c r="I69" s="74"/>
      <c r="J69" s="86"/>
      <c r="K69" s="74"/>
      <c r="L69" s="61"/>
      <c r="M69" s="61"/>
      <c r="N69" s="61"/>
      <c r="O69" s="61">
        <f ca="1">工程建设其他费用计算表02表!E17</f>
        <v>96.9394</v>
      </c>
      <c r="P69" s="61">
        <f ca="1" t="shared" si="33"/>
        <v>96.9394</v>
      </c>
      <c r="Q69" s="74"/>
      <c r="R69" s="61"/>
      <c r="S69" s="61"/>
      <c r="T69" s="103"/>
    </row>
    <row r="70" s="41" customFormat="1" ht="23" customHeight="1" outlineLevel="1" spans="1:20">
      <c r="A70" s="59" t="s">
        <v>95</v>
      </c>
      <c r="B70" s="68" t="s">
        <v>96</v>
      </c>
      <c r="C70" s="74"/>
      <c r="D70" s="74"/>
      <c r="E70" s="74"/>
      <c r="F70" s="74">
        <v>1.2</v>
      </c>
      <c r="G70" s="74">
        <f t="shared" si="32"/>
        <v>1.2</v>
      </c>
      <c r="H70" s="74"/>
      <c r="I70" s="74"/>
      <c r="J70" s="86"/>
      <c r="K70" s="74"/>
      <c r="L70" s="61"/>
      <c r="M70" s="61"/>
      <c r="N70" s="61"/>
      <c r="O70" s="61">
        <f ca="1">工程建设其他费用计算表02表!E18</f>
        <v>1.19570823529412</v>
      </c>
      <c r="P70" s="61">
        <f ca="1" t="shared" si="33"/>
        <v>1.19570823529412</v>
      </c>
      <c r="Q70" s="74"/>
      <c r="R70" s="61"/>
      <c r="S70" s="61"/>
      <c r="T70" s="103"/>
    </row>
    <row r="71" s="41" customFormat="1" ht="23" customHeight="1" outlineLevel="1" spans="1:20">
      <c r="A71" s="59" t="s">
        <v>97</v>
      </c>
      <c r="B71" s="68" t="s">
        <v>98</v>
      </c>
      <c r="C71" s="74"/>
      <c r="D71" s="74"/>
      <c r="E71" s="74"/>
      <c r="F71" s="74">
        <v>2.3</v>
      </c>
      <c r="G71" s="74">
        <f t="shared" si="32"/>
        <v>2.3</v>
      </c>
      <c r="H71" s="74"/>
      <c r="I71" s="74"/>
      <c r="J71" s="86"/>
      <c r="K71" s="74"/>
      <c r="L71" s="61"/>
      <c r="M71" s="61"/>
      <c r="N71" s="61"/>
      <c r="O71" s="61">
        <f ca="1">工程建设其他费用计算表02表!E19</f>
        <v>2.304</v>
      </c>
      <c r="P71" s="61">
        <f ca="1" t="shared" si="33"/>
        <v>2.304</v>
      </c>
      <c r="Q71" s="74"/>
      <c r="R71" s="61"/>
      <c r="S71" s="61"/>
      <c r="T71" s="103"/>
    </row>
    <row r="72" s="41" customFormat="1" ht="23" customHeight="1" outlineLevel="1" spans="1:20">
      <c r="A72" s="59" t="s">
        <v>99</v>
      </c>
      <c r="B72" s="68" t="s">
        <v>100</v>
      </c>
      <c r="C72" s="74"/>
      <c r="D72" s="74"/>
      <c r="E72" s="74"/>
      <c r="F72" s="74">
        <v>4.41</v>
      </c>
      <c r="G72" s="74">
        <f t="shared" si="32"/>
        <v>4.41</v>
      </c>
      <c r="H72" s="74"/>
      <c r="I72" s="74"/>
      <c r="J72" s="86"/>
      <c r="K72" s="74"/>
      <c r="L72" s="61"/>
      <c r="M72" s="61"/>
      <c r="N72" s="61"/>
      <c r="O72" s="61">
        <f ca="1">工程建设其他费用计算表02表!E20</f>
        <v>4.36232</v>
      </c>
      <c r="P72" s="61">
        <f ca="1" t="shared" si="33"/>
        <v>4.36232</v>
      </c>
      <c r="Q72" s="74"/>
      <c r="R72" s="61"/>
      <c r="S72" s="61"/>
      <c r="T72" s="103"/>
    </row>
    <row r="73" s="41" customFormat="1" ht="23" customHeight="1" outlineLevel="1" spans="1:20">
      <c r="A73" s="59" t="s">
        <v>101</v>
      </c>
      <c r="B73" s="68" t="s">
        <v>102</v>
      </c>
      <c r="C73" s="74"/>
      <c r="D73" s="74"/>
      <c r="E73" s="74"/>
      <c r="F73" s="74">
        <v>22.04</v>
      </c>
      <c r="G73" s="74">
        <f t="shared" si="32"/>
        <v>22.04</v>
      </c>
      <c r="H73" s="74"/>
      <c r="I73" s="74"/>
      <c r="J73" s="86"/>
      <c r="K73" s="74"/>
      <c r="L73" s="61"/>
      <c r="M73" s="61"/>
      <c r="N73" s="61"/>
      <c r="O73" s="61">
        <f ca="1">工程建设其他费用计算表02表!E21</f>
        <v>21.8116</v>
      </c>
      <c r="P73" s="61">
        <f ca="1" t="shared" si="33"/>
        <v>21.8116</v>
      </c>
      <c r="Q73" s="74"/>
      <c r="R73" s="61"/>
      <c r="S73" s="61"/>
      <c r="T73" s="103"/>
    </row>
    <row r="74" s="41" customFormat="1" ht="23" customHeight="1" outlineLevel="1" spans="1:20">
      <c r="A74" s="59" t="s">
        <v>103</v>
      </c>
      <c r="B74" s="68" t="s">
        <v>104</v>
      </c>
      <c r="C74" s="74"/>
      <c r="D74" s="74"/>
      <c r="E74" s="74"/>
      <c r="F74" s="74">
        <v>13.23</v>
      </c>
      <c r="G74" s="74">
        <f t="shared" si="32"/>
        <v>13.23</v>
      </c>
      <c r="H74" s="74"/>
      <c r="I74" s="74"/>
      <c r="J74" s="86"/>
      <c r="K74" s="74"/>
      <c r="L74" s="61"/>
      <c r="M74" s="61"/>
      <c r="N74" s="61"/>
      <c r="O74" s="61">
        <f ca="1">工程建设其他费用计算表02表!E22</f>
        <v>13.08696</v>
      </c>
      <c r="P74" s="61">
        <f ca="1" t="shared" si="33"/>
        <v>13.08696</v>
      </c>
      <c r="Q74" s="74"/>
      <c r="R74" s="61"/>
      <c r="S74" s="61"/>
      <c r="T74" s="103"/>
    </row>
    <row r="75" s="41" customFormat="1" ht="23" customHeight="1" outlineLevel="1" spans="1:20">
      <c r="A75" s="59" t="s">
        <v>105</v>
      </c>
      <c r="B75" s="68" t="s">
        <v>106</v>
      </c>
      <c r="C75" s="74"/>
      <c r="D75" s="74"/>
      <c r="E75" s="74"/>
      <c r="F75" s="74">
        <v>30.92</v>
      </c>
      <c r="G75" s="74">
        <f t="shared" si="32"/>
        <v>30.92</v>
      </c>
      <c r="H75" s="74"/>
      <c r="I75" s="74"/>
      <c r="J75" s="86"/>
      <c r="K75" s="74"/>
      <c r="L75" s="61"/>
      <c r="M75" s="61"/>
      <c r="N75" s="61"/>
      <c r="O75" s="61">
        <f ca="1">工程建设其他费用计算表02表!E23</f>
        <v>30.69662</v>
      </c>
      <c r="P75" s="61">
        <f ca="1" t="shared" si="33"/>
        <v>30.69662</v>
      </c>
      <c r="Q75" s="74"/>
      <c r="R75" s="61"/>
      <c r="S75" s="61"/>
      <c r="T75" s="103"/>
    </row>
    <row r="76" s="41" customFormat="1" ht="23" customHeight="1" outlineLevel="1" spans="1:20">
      <c r="A76" s="104" t="s">
        <v>107</v>
      </c>
      <c r="B76" s="68" t="s">
        <v>108</v>
      </c>
      <c r="C76" s="74"/>
      <c r="D76" s="74"/>
      <c r="E76" s="74"/>
      <c r="F76" s="74">
        <v>6.91</v>
      </c>
      <c r="G76" s="74">
        <f t="shared" si="32"/>
        <v>6.91</v>
      </c>
      <c r="H76" s="74"/>
      <c r="I76" s="74"/>
      <c r="J76" s="86"/>
      <c r="K76" s="74"/>
      <c r="L76" s="61"/>
      <c r="M76" s="61"/>
      <c r="N76" s="61"/>
      <c r="O76" s="61">
        <f ca="1">工程建设其他费用计算表02表!E24</f>
        <v>6.86232</v>
      </c>
      <c r="P76" s="61">
        <f ca="1" t="shared" si="33"/>
        <v>6.86232</v>
      </c>
      <c r="Q76" s="74"/>
      <c r="R76" s="61"/>
      <c r="S76" s="61"/>
      <c r="T76" s="103"/>
    </row>
    <row r="77" s="41" customFormat="1" ht="23" customHeight="1" outlineLevel="1" spans="1:20">
      <c r="A77" s="104" t="s">
        <v>109</v>
      </c>
      <c r="B77" s="68" t="s">
        <v>110</v>
      </c>
      <c r="C77" s="74"/>
      <c r="D77" s="74"/>
      <c r="E77" s="74"/>
      <c r="F77" s="74">
        <v>20.53</v>
      </c>
      <c r="G77" s="74">
        <f t="shared" si="32"/>
        <v>20.53</v>
      </c>
      <c r="H77" s="74"/>
      <c r="I77" s="74"/>
      <c r="J77" s="86"/>
      <c r="K77" s="74"/>
      <c r="L77" s="61"/>
      <c r="M77" s="61"/>
      <c r="N77" s="61"/>
      <c r="O77" s="61">
        <f ca="1">工程建设其他费用计算表02表!E25</f>
        <v>20.21658</v>
      </c>
      <c r="P77" s="61">
        <f ca="1" t="shared" si="33"/>
        <v>20.21658</v>
      </c>
      <c r="Q77" s="74"/>
      <c r="R77" s="61"/>
      <c r="S77" s="61"/>
      <c r="T77" s="103"/>
    </row>
    <row r="78" s="41" customFormat="1" ht="23" customHeight="1" outlineLevel="1" spans="1:20">
      <c r="A78" s="104" t="s">
        <v>111</v>
      </c>
      <c r="B78" s="68" t="s">
        <v>112</v>
      </c>
      <c r="C78" s="74"/>
      <c r="D78" s="74"/>
      <c r="E78" s="74"/>
      <c r="F78" s="74">
        <v>0.38</v>
      </c>
      <c r="G78" s="74">
        <f t="shared" si="32"/>
        <v>0.38</v>
      </c>
      <c r="H78" s="74"/>
      <c r="I78" s="74"/>
      <c r="J78" s="86"/>
      <c r="K78" s="74"/>
      <c r="L78" s="61"/>
      <c r="M78" s="61"/>
      <c r="N78" s="61"/>
      <c r="O78" s="61">
        <f ca="1">工程建设其他费用计算表02表!E26</f>
        <v>0.3706373</v>
      </c>
      <c r="P78" s="61">
        <f ca="1" t="shared" si="33"/>
        <v>0.3706373</v>
      </c>
      <c r="Q78" s="74"/>
      <c r="R78" s="61"/>
      <c r="S78" s="61"/>
      <c r="T78" s="103"/>
    </row>
    <row r="79" s="41" customFormat="1" ht="23" customHeight="1" outlineLevel="1" spans="1:20">
      <c r="A79" s="104" t="s">
        <v>113</v>
      </c>
      <c r="B79" s="68" t="s">
        <v>114</v>
      </c>
      <c r="C79" s="74"/>
      <c r="D79" s="74"/>
      <c r="E79" s="74"/>
      <c r="F79" s="74">
        <v>3.61</v>
      </c>
      <c r="G79" s="74">
        <f t="shared" si="32"/>
        <v>3.61</v>
      </c>
      <c r="H79" s="74"/>
      <c r="I79" s="74"/>
      <c r="J79" s="86"/>
      <c r="K79" s="74"/>
      <c r="L79" s="61"/>
      <c r="M79" s="61"/>
      <c r="N79" s="61"/>
      <c r="O79" s="61">
        <f ca="1">工程建设其他费用计算表02表!E27</f>
        <v>5.1112</v>
      </c>
      <c r="P79" s="61">
        <f ca="1" t="shared" si="33"/>
        <v>5.1112</v>
      </c>
      <c r="Q79" s="74"/>
      <c r="R79" s="61"/>
      <c r="S79" s="61"/>
      <c r="T79" s="103"/>
    </row>
    <row r="80" s="41" customFormat="1" ht="23" customHeight="1" outlineLevel="1" spans="1:20">
      <c r="A80" s="104" t="s">
        <v>115</v>
      </c>
      <c r="B80" s="68" t="s">
        <v>116</v>
      </c>
      <c r="C80" s="74"/>
      <c r="D80" s="74"/>
      <c r="E80" s="74"/>
      <c r="F80" s="74">
        <v>19.01</v>
      </c>
      <c r="G80" s="74">
        <f t="shared" si="32"/>
        <v>19.01</v>
      </c>
      <c r="H80" s="74"/>
      <c r="I80" s="74"/>
      <c r="J80" s="86"/>
      <c r="K80" s="74"/>
      <c r="L80" s="61"/>
      <c r="M80" s="61"/>
      <c r="N80" s="61"/>
      <c r="O80" s="61">
        <f ca="1">工程建设其他费用计算表02表!E28</f>
        <v>19.13169</v>
      </c>
      <c r="P80" s="61">
        <f ca="1" t="shared" si="33"/>
        <v>19.13169</v>
      </c>
      <c r="Q80" s="74"/>
      <c r="R80" s="61"/>
      <c r="S80" s="61"/>
      <c r="T80" s="103"/>
    </row>
    <row r="81" s="41" customFormat="1" ht="23" customHeight="1" outlineLevel="1" spans="1:20">
      <c r="A81" s="104" t="s">
        <v>117</v>
      </c>
      <c r="B81" s="68" t="s">
        <v>118</v>
      </c>
      <c r="C81" s="74"/>
      <c r="D81" s="74"/>
      <c r="E81" s="74"/>
      <c r="F81" s="74">
        <v>25</v>
      </c>
      <c r="G81" s="74">
        <f t="shared" si="32"/>
        <v>25</v>
      </c>
      <c r="H81" s="74"/>
      <c r="I81" s="74"/>
      <c r="J81" s="86"/>
      <c r="K81" s="74"/>
      <c r="L81" s="61"/>
      <c r="M81" s="61"/>
      <c r="N81" s="61"/>
      <c r="O81" s="61">
        <f ca="1">工程建设其他费用计算表02表!E29</f>
        <v>33.6943</v>
      </c>
      <c r="P81" s="61">
        <f ca="1" t="shared" si="33"/>
        <v>33.6943</v>
      </c>
      <c r="Q81" s="74"/>
      <c r="R81" s="61"/>
      <c r="S81" s="61"/>
      <c r="T81" s="103"/>
    </row>
    <row r="82" s="41" customFormat="1" ht="23" customHeight="1" outlineLevel="1" spans="1:20">
      <c r="A82" s="104" t="s">
        <v>119</v>
      </c>
      <c r="B82" s="68" t="s">
        <v>120</v>
      </c>
      <c r="C82" s="74"/>
      <c r="D82" s="74"/>
      <c r="E82" s="74"/>
      <c r="F82" s="74">
        <v>6.17</v>
      </c>
      <c r="G82" s="74">
        <f t="shared" ref="G82:G89" si="34">SUM(C82:F82)</f>
        <v>6.17</v>
      </c>
      <c r="H82" s="74"/>
      <c r="I82" s="74"/>
      <c r="J82" s="86"/>
      <c r="K82" s="74"/>
      <c r="L82" s="61"/>
      <c r="M82" s="61"/>
      <c r="N82" s="61"/>
      <c r="O82" s="61">
        <f ca="1">工程建设其他费用计算表02表!E30</f>
        <v>6.107248</v>
      </c>
      <c r="P82" s="61">
        <f ca="1" t="shared" si="33"/>
        <v>6.107248</v>
      </c>
      <c r="Q82" s="74"/>
      <c r="R82" s="61"/>
      <c r="S82" s="61"/>
      <c r="T82" s="103"/>
    </row>
    <row r="83" ht="23" customHeight="1" outlineLevel="1" spans="1:20">
      <c r="A83" s="59"/>
      <c r="B83" s="201" t="s">
        <v>121</v>
      </c>
      <c r="C83" s="200"/>
      <c r="D83" s="61"/>
      <c r="E83" s="200"/>
      <c r="F83" s="200">
        <f>SUM(F68:F82,F65,F61,F57)</f>
        <v>641.48</v>
      </c>
      <c r="G83" s="200">
        <f t="shared" si="34"/>
        <v>641.48</v>
      </c>
      <c r="H83" s="200" t="s">
        <v>18</v>
      </c>
      <c r="I83" s="200">
        <v>6668</v>
      </c>
      <c r="J83" s="210">
        <f t="shared" ref="J83:J88" si="35">+G83/I83*10000</f>
        <v>962.027594481104</v>
      </c>
      <c r="K83" s="61"/>
      <c r="L83" s="200"/>
      <c r="M83" s="200"/>
      <c r="N83" s="200"/>
      <c r="O83" s="200">
        <f ca="1">工程建设其他费用计算表02表!E31</f>
        <v>499.476959715294</v>
      </c>
      <c r="P83" s="200">
        <f ca="1" t="shared" si="33"/>
        <v>499.476959715294</v>
      </c>
      <c r="Q83" s="200" t="s">
        <v>18</v>
      </c>
      <c r="R83" s="200">
        <f>R6</f>
        <v>6738.86</v>
      </c>
      <c r="S83" s="200">
        <f ca="1">+P83/R83*10000</f>
        <v>741.189102778948</v>
      </c>
      <c r="T83" s="96"/>
    </row>
    <row r="84" ht="23" customHeight="1" spans="1:20">
      <c r="A84" s="198" t="s">
        <v>122</v>
      </c>
      <c r="B84" s="201" t="s">
        <v>123</v>
      </c>
      <c r="C84" s="201"/>
      <c r="D84" s="200">
        <f>SUM(D85:D87)</f>
        <v>1507.7</v>
      </c>
      <c r="E84" s="201"/>
      <c r="F84" s="196"/>
      <c r="G84" s="196">
        <f t="shared" si="34"/>
        <v>1507.7</v>
      </c>
      <c r="H84" s="196"/>
      <c r="I84" s="200"/>
      <c r="J84" s="210"/>
      <c r="K84" s="201"/>
      <c r="L84" s="217"/>
      <c r="M84" s="200">
        <f>SUM(M85:M87)</f>
        <v>1507.7</v>
      </c>
      <c r="N84" s="217"/>
      <c r="O84" s="200"/>
      <c r="P84" s="200">
        <f t="shared" si="33"/>
        <v>1507.7</v>
      </c>
      <c r="Q84" s="196"/>
      <c r="R84" s="200"/>
      <c r="S84" s="200"/>
      <c r="T84" s="223"/>
    </row>
    <row r="85" s="42" customFormat="1" ht="23" customHeight="1" outlineLevel="1" spans="1:20">
      <c r="A85" s="107">
        <v>1</v>
      </c>
      <c r="B85" s="108" t="s">
        <v>124</v>
      </c>
      <c r="C85" s="108"/>
      <c r="D85" s="62">
        <v>28.2</v>
      </c>
      <c r="E85" s="108"/>
      <c r="F85" s="109"/>
      <c r="G85" s="62">
        <f t="shared" si="34"/>
        <v>28.2</v>
      </c>
      <c r="H85" s="109" t="s">
        <v>51</v>
      </c>
      <c r="I85" s="109">
        <v>1</v>
      </c>
      <c r="J85" s="115">
        <f t="shared" si="35"/>
        <v>282000</v>
      </c>
      <c r="K85" s="108"/>
      <c r="L85" s="116"/>
      <c r="M85" s="62">
        <v>28.2</v>
      </c>
      <c r="N85" s="116"/>
      <c r="O85" s="62"/>
      <c r="P85" s="62">
        <f t="shared" si="33"/>
        <v>28.2</v>
      </c>
      <c r="Q85" s="109" t="s">
        <v>51</v>
      </c>
      <c r="R85" s="62">
        <v>1</v>
      </c>
      <c r="S85" s="124">
        <f t="shared" ref="S85:S88" si="36">+P85/R85*10000</f>
        <v>282000</v>
      </c>
      <c r="T85" s="125"/>
    </row>
    <row r="86" s="42" customFormat="1" ht="23" customHeight="1" outlineLevel="1" spans="1:20">
      <c r="A86" s="107">
        <v>2</v>
      </c>
      <c r="B86" s="108" t="s">
        <v>125</v>
      </c>
      <c r="C86" s="108"/>
      <c r="D86" s="62">
        <v>125</v>
      </c>
      <c r="E86" s="108"/>
      <c r="F86" s="108"/>
      <c r="G86" s="62">
        <f t="shared" si="34"/>
        <v>125</v>
      </c>
      <c r="H86" s="109" t="s">
        <v>51</v>
      </c>
      <c r="I86" s="109">
        <v>1</v>
      </c>
      <c r="J86" s="115">
        <f t="shared" si="35"/>
        <v>1250000</v>
      </c>
      <c r="K86" s="108"/>
      <c r="L86" s="116"/>
      <c r="M86" s="62">
        <v>125</v>
      </c>
      <c r="N86" s="116"/>
      <c r="O86" s="116"/>
      <c r="P86" s="62">
        <f t="shared" si="33"/>
        <v>125</v>
      </c>
      <c r="Q86" s="109" t="s">
        <v>51</v>
      </c>
      <c r="R86" s="62">
        <v>1</v>
      </c>
      <c r="S86" s="124">
        <f t="shared" si="36"/>
        <v>1250000</v>
      </c>
      <c r="T86" s="125"/>
    </row>
    <row r="87" s="42" customFormat="1" ht="23" customHeight="1" outlineLevel="1" spans="1:20">
      <c r="A87" s="107">
        <v>3</v>
      </c>
      <c r="B87" s="108" t="s">
        <v>126</v>
      </c>
      <c r="C87" s="108"/>
      <c r="D87" s="62">
        <v>1354.5</v>
      </c>
      <c r="E87" s="108"/>
      <c r="F87" s="108"/>
      <c r="G87" s="62">
        <f t="shared" si="34"/>
        <v>1354.5</v>
      </c>
      <c r="H87" s="109" t="s">
        <v>51</v>
      </c>
      <c r="I87" s="109">
        <v>1</v>
      </c>
      <c r="J87" s="115">
        <f t="shared" si="35"/>
        <v>13545000</v>
      </c>
      <c r="K87" s="108"/>
      <c r="L87" s="116"/>
      <c r="M87" s="62">
        <v>1354.5</v>
      </c>
      <c r="N87" s="116"/>
      <c r="O87" s="116"/>
      <c r="P87" s="62">
        <f t="shared" si="33"/>
        <v>1354.5</v>
      </c>
      <c r="Q87" s="109" t="s">
        <v>51</v>
      </c>
      <c r="R87" s="62">
        <v>1</v>
      </c>
      <c r="S87" s="124">
        <f t="shared" si="36"/>
        <v>13545000</v>
      </c>
      <c r="T87" s="125"/>
    </row>
    <row r="88" ht="23" customHeight="1" spans="1:20">
      <c r="A88" s="198" t="s">
        <v>127</v>
      </c>
      <c r="B88" s="201" t="s">
        <v>128</v>
      </c>
      <c r="C88" s="201"/>
      <c r="D88" s="201"/>
      <c r="E88" s="201"/>
      <c r="F88" s="196">
        <f>SUM(F89:F89)</f>
        <v>326.75</v>
      </c>
      <c r="G88" s="196">
        <f t="shared" si="34"/>
        <v>326.75</v>
      </c>
      <c r="H88" s="196" t="s">
        <v>18</v>
      </c>
      <c r="I88" s="200">
        <v>6668</v>
      </c>
      <c r="J88" s="210">
        <f t="shared" si="35"/>
        <v>490.02699460108</v>
      </c>
      <c r="K88" s="201"/>
      <c r="L88" s="217"/>
      <c r="M88" s="200"/>
      <c r="N88" s="217"/>
      <c r="O88" s="200">
        <f ca="1">SUM(O89:O89)</f>
        <v>190.398294502059</v>
      </c>
      <c r="P88" s="200">
        <f ca="1" t="shared" si="33"/>
        <v>190.398294502059</v>
      </c>
      <c r="Q88" s="196" t="s">
        <v>18</v>
      </c>
      <c r="R88" s="200">
        <f>+R83</f>
        <v>6738.86</v>
      </c>
      <c r="S88" s="200">
        <f ca="1" t="shared" si="36"/>
        <v>282.537839489259</v>
      </c>
      <c r="T88" s="223"/>
    </row>
    <row r="89" s="41" customFormat="1" ht="31" customHeight="1" outlineLevel="1" spans="1:20">
      <c r="A89" s="107">
        <v>1</v>
      </c>
      <c r="B89" s="108" t="s">
        <v>129</v>
      </c>
      <c r="C89" s="108"/>
      <c r="D89" s="108"/>
      <c r="E89" s="108"/>
      <c r="F89" s="109">
        <v>326.75</v>
      </c>
      <c r="G89" s="109">
        <f t="shared" si="34"/>
        <v>326.75</v>
      </c>
      <c r="H89" s="109" t="s">
        <v>130</v>
      </c>
      <c r="I89" s="109"/>
      <c r="J89" s="130"/>
      <c r="K89" s="109"/>
      <c r="L89" s="116"/>
      <c r="M89" s="62"/>
      <c r="N89" s="116"/>
      <c r="O89" s="62">
        <f ca="1">+(P83+P6+P84-P57)*0.03</f>
        <v>190.398294502059</v>
      </c>
      <c r="P89" s="62">
        <f ca="1" t="shared" si="33"/>
        <v>190.398294502059</v>
      </c>
      <c r="Q89" s="110" t="s">
        <v>131</v>
      </c>
      <c r="R89" s="62"/>
      <c r="S89" s="62"/>
      <c r="T89" s="126"/>
    </row>
    <row r="90" ht="23" customHeight="1" spans="1:20">
      <c r="A90" s="198" t="s">
        <v>132</v>
      </c>
      <c r="B90" s="201" t="s">
        <v>133</v>
      </c>
      <c r="C90" s="196">
        <f>C6+C56+C84+C88</f>
        <v>2942.98</v>
      </c>
      <c r="D90" s="196">
        <f>D6+D56+D84+D88</f>
        <v>2216.94</v>
      </c>
      <c r="E90" s="196">
        <f>E6+E56+E84+E88</f>
        <v>756.44</v>
      </c>
      <c r="F90" s="196">
        <f>F6+F56+F84+F88</f>
        <v>968.23</v>
      </c>
      <c r="G90" s="196">
        <f>G6+G56+G84+G88</f>
        <v>6884.59</v>
      </c>
      <c r="H90" s="196" t="s">
        <v>18</v>
      </c>
      <c r="I90" s="200">
        <v>6668</v>
      </c>
      <c r="J90" s="210">
        <f>+G90/I90*10000</f>
        <v>10324.8200359928</v>
      </c>
      <c r="K90" s="201"/>
      <c r="L90" s="200">
        <f>L6+L56+L84+L88</f>
        <v>2697.5655</v>
      </c>
      <c r="M90" s="200">
        <f>M6+M56+M84+M88</f>
        <v>2007.8412</v>
      </c>
      <c r="N90" s="200">
        <f>N6+N56+N84+N88</f>
        <v>1164.6122</v>
      </c>
      <c r="O90" s="200">
        <f ca="1">O6+O56+O84+O88</f>
        <v>689.875254217353</v>
      </c>
      <c r="P90" s="200">
        <f ca="1">P6+P56+P84+P88</f>
        <v>6559.89415421735</v>
      </c>
      <c r="Q90" s="200" t="s">
        <v>18</v>
      </c>
      <c r="R90" s="200">
        <f>+R88</f>
        <v>6738.86</v>
      </c>
      <c r="S90" s="200">
        <f ca="1">+P90/R90*10000</f>
        <v>9734.42712004308</v>
      </c>
      <c r="T90" s="223"/>
    </row>
    <row r="91" ht="23" customHeight="1" spans="1:20">
      <c r="A91" s="198" t="s">
        <v>134</v>
      </c>
      <c r="B91" s="201" t="s">
        <v>135</v>
      </c>
      <c r="C91" s="201"/>
      <c r="D91" s="201"/>
      <c r="E91" s="201"/>
      <c r="F91" s="196">
        <v>289.23</v>
      </c>
      <c r="G91" s="196">
        <f>SUM(C91:F91)</f>
        <v>289.23</v>
      </c>
      <c r="H91" s="201"/>
      <c r="I91" s="201"/>
      <c r="J91" s="218"/>
      <c r="K91" s="201"/>
      <c r="L91" s="217"/>
      <c r="M91" s="200"/>
      <c r="N91" s="217"/>
      <c r="O91" s="200">
        <v>289.23</v>
      </c>
      <c r="P91" s="219">
        <f>SUM(L91:O91)</f>
        <v>289.23</v>
      </c>
      <c r="Q91" s="217"/>
      <c r="R91" s="217"/>
      <c r="S91" s="217"/>
      <c r="T91" s="223"/>
    </row>
    <row r="92" ht="23" customHeight="1" spans="1:20">
      <c r="A92" s="214" t="s">
        <v>136</v>
      </c>
      <c r="B92" s="215" t="s">
        <v>137</v>
      </c>
      <c r="C92" s="216">
        <f t="shared" ref="C92:G92" si="37">+C90+C91</f>
        <v>2942.98</v>
      </c>
      <c r="D92" s="216">
        <f t="shared" si="37"/>
        <v>2216.94</v>
      </c>
      <c r="E92" s="216">
        <f t="shared" si="37"/>
        <v>756.44</v>
      </c>
      <c r="F92" s="216">
        <f t="shared" si="37"/>
        <v>1257.46</v>
      </c>
      <c r="G92" s="216">
        <f t="shared" si="37"/>
        <v>7173.82</v>
      </c>
      <c r="H92" s="216" t="s">
        <v>18</v>
      </c>
      <c r="I92" s="200">
        <v>6668</v>
      </c>
      <c r="J92" s="220">
        <f>+G92/I92*10000</f>
        <v>10758.5782843431</v>
      </c>
      <c r="K92" s="215"/>
      <c r="L92" s="221">
        <f>+L90+L91</f>
        <v>2697.5655</v>
      </c>
      <c r="M92" s="221">
        <f>+M90+M91</f>
        <v>2007.8412</v>
      </c>
      <c r="N92" s="221">
        <f>+N90+N91</f>
        <v>1164.6122</v>
      </c>
      <c r="O92" s="221">
        <f ca="1">+O90+O91</f>
        <v>979.105254217353</v>
      </c>
      <c r="P92" s="222">
        <f ca="1">+P90+P91</f>
        <v>6849.12415421735</v>
      </c>
      <c r="Q92" s="221" t="s">
        <v>18</v>
      </c>
      <c r="R92" s="221">
        <f>+R88</f>
        <v>6738.86</v>
      </c>
      <c r="S92" s="221">
        <f ca="1">+P92/R92*10000</f>
        <v>10163.6243433123</v>
      </c>
      <c r="T92" s="224"/>
    </row>
    <row r="94" spans="3:10">
      <c r="C94" s="1">
        <v>2942.98</v>
      </c>
      <c r="D94" s="1">
        <v>2216.94</v>
      </c>
      <c r="E94" s="1">
        <v>756.44</v>
      </c>
      <c r="F94" s="1">
        <v>1257.46</v>
      </c>
      <c r="G94" s="1">
        <v>7173.82</v>
      </c>
      <c r="H94" s="1" t="s">
        <v>18</v>
      </c>
      <c r="I94" s="1">
        <v>6668</v>
      </c>
      <c r="J94" s="28">
        <v>10758.5782843431</v>
      </c>
    </row>
    <row r="95" s="2" customFormat="1" hidden="1" spans="2:19">
      <c r="B95" s="2" t="s">
        <v>138</v>
      </c>
      <c r="J95" s="131"/>
      <c r="L95" s="132"/>
      <c r="M95" s="132"/>
      <c r="N95" s="132"/>
      <c r="O95" s="132"/>
      <c r="P95" s="132"/>
      <c r="R95" s="132"/>
      <c r="S95" s="132"/>
    </row>
    <row r="96" hidden="1" spans="2:2">
      <c r="B96" s="47" t="s">
        <v>139</v>
      </c>
    </row>
    <row r="97" hidden="1" spans="2:2">
      <c r="B97" s="47" t="s">
        <v>140</v>
      </c>
    </row>
    <row r="98" hidden="1" spans="2:2">
      <c r="B98" s="47" t="s">
        <v>141</v>
      </c>
    </row>
    <row r="99" hidden="1" spans="2:2">
      <c r="B99" s="47" t="s">
        <v>142</v>
      </c>
    </row>
    <row r="100" hidden="1" spans="2:2">
      <c r="B100" s="47" t="s">
        <v>143</v>
      </c>
    </row>
    <row r="101" hidden="1" spans="2:2">
      <c r="B101" s="47" t="s">
        <v>144</v>
      </c>
    </row>
  </sheetData>
  <sheetProtection formatCells="0" insertHyperlinks="0" autoFilter="0"/>
  <autoFilter xmlns:etc="http://www.wps.cn/officeDocument/2017/etCustomData" ref="A4:T92" etc:filterBottomFollowUsedRange="0">
    <extLst/>
  </autoFilter>
  <mergeCells count="12">
    <mergeCell ref="A1:T1"/>
    <mergeCell ref="A2:T2"/>
    <mergeCell ref="C3:G3"/>
    <mergeCell ref="H3:J3"/>
    <mergeCell ref="L3:P3"/>
    <mergeCell ref="Q3:S3"/>
    <mergeCell ref="H89:K89"/>
    <mergeCell ref="Q89:T89"/>
    <mergeCell ref="A3:A4"/>
    <mergeCell ref="B3:B4"/>
    <mergeCell ref="K3:K4"/>
    <mergeCell ref="T3:T4"/>
  </mergeCells>
  <printOptions horizontalCentered="1"/>
  <pageMargins left="0.700694444444445" right="0.700694444444445" top="0.751388888888889" bottom="0.751388888888889" header="0.298611111111111" footer="0.298611111111111"/>
  <pageSetup paperSize="9" scale="7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4"/>
  <sheetViews>
    <sheetView view="pageBreakPreview" zoomScaleNormal="100" workbookViewId="0">
      <selection activeCell="A1" sqref="A1:F1"/>
    </sheetView>
  </sheetViews>
  <sheetFormatPr defaultColWidth="9" defaultRowHeight="12"/>
  <cols>
    <col min="1" max="1" width="7" style="170" customWidth="1"/>
    <col min="2" max="2" width="20.5" style="171" customWidth="1"/>
    <col min="3" max="3" width="36.875" style="172" customWidth="1"/>
    <col min="4" max="4" width="51.2583333333333" style="172" customWidth="1"/>
    <col min="5" max="5" width="10.875" style="173" customWidth="1"/>
    <col min="6" max="6" width="10.2333333333333" style="172" customWidth="1"/>
    <col min="7" max="12" width="9" style="172"/>
    <col min="13" max="13" width="9.625" style="172"/>
    <col min="14" max="16379" width="9" style="172"/>
    <col min="16380" max="16384" width="9" style="174"/>
  </cols>
  <sheetData>
    <row r="1" s="167" customFormat="1" ht="23" customHeight="1" spans="1:6">
      <c r="A1" s="175" t="s">
        <v>145</v>
      </c>
      <c r="B1" s="176"/>
      <c r="C1" s="176"/>
      <c r="D1" s="176"/>
      <c r="E1" s="176"/>
      <c r="F1" s="176"/>
    </row>
    <row r="2" s="167" customFormat="1" ht="35" customHeight="1" spans="1:6">
      <c r="A2" s="177" t="s">
        <v>146</v>
      </c>
      <c r="B2" s="178"/>
      <c r="C2" s="178"/>
      <c r="D2" s="178"/>
      <c r="E2" s="179"/>
      <c r="F2" s="178"/>
    </row>
    <row r="3" s="167" customFormat="1" ht="20" customHeight="1" spans="1:6">
      <c r="A3" s="180" t="str">
        <f>工程概算表01表!A2</f>
        <v>项目名称：闽清县总医院金沙分院</v>
      </c>
      <c r="B3" s="181"/>
      <c r="C3" s="182"/>
      <c r="D3" s="182"/>
      <c r="E3" s="182"/>
      <c r="F3" s="182"/>
    </row>
    <row r="4" s="168" customFormat="1" ht="24" customHeight="1" spans="1:6">
      <c r="A4" s="183" t="s">
        <v>147</v>
      </c>
      <c r="B4" s="184" t="s">
        <v>148</v>
      </c>
      <c r="C4" s="184" t="s">
        <v>149</v>
      </c>
      <c r="D4" s="184" t="s">
        <v>150</v>
      </c>
      <c r="E4" s="184" t="s">
        <v>151</v>
      </c>
      <c r="F4" s="184" t="s">
        <v>6</v>
      </c>
    </row>
    <row r="5" s="169" customFormat="1" ht="24" customHeight="1" spans="1:6">
      <c r="A5" s="183" t="s">
        <v>78</v>
      </c>
      <c r="B5" s="185" t="s">
        <v>79</v>
      </c>
      <c r="C5" s="185"/>
      <c r="D5" s="185"/>
      <c r="E5" s="184">
        <f ca="1">SUM(E6:E8)</f>
        <v>22.88604298</v>
      </c>
      <c r="F5" s="186"/>
    </row>
    <row r="6" s="169" customFormat="1" ht="24" customHeight="1" spans="1:14">
      <c r="A6" s="183">
        <v>1</v>
      </c>
      <c r="B6" s="68" t="s">
        <v>80</v>
      </c>
      <c r="C6" s="185" t="s">
        <v>152</v>
      </c>
      <c r="D6" s="185" t="s">
        <v>153</v>
      </c>
      <c r="E6" s="187">
        <f ca="1" t="shared" ref="E6:E10" si="0">EVALUATE(D6)</f>
        <v>6.82694298</v>
      </c>
      <c r="F6" s="186"/>
      <c r="H6" s="169" t="s">
        <v>154</v>
      </c>
      <c r="I6" s="169">
        <v>4647</v>
      </c>
      <c r="J6" s="169" t="s">
        <v>155</v>
      </c>
      <c r="K6" s="169">
        <v>2691.68</v>
      </c>
      <c r="L6" s="169">
        <f>I6-K6</f>
        <v>1955.32</v>
      </c>
      <c r="M6" s="169">
        <f>+L6/10000*57.75</f>
        <v>11.291973</v>
      </c>
      <c r="N6" s="169" t="str">
        <f>_xlfn.DISPIMG("ID_D40D50EC89424DEC9FE787A0A7484F87",1)</f>
        <v>=DISPIMG("ID_D40D50EC89424DEC9FE787A0A7484F87",1)</v>
      </c>
    </row>
    <row r="7" s="169" customFormat="1" ht="24" customHeight="1" spans="1:6">
      <c r="A7" s="183">
        <v>2</v>
      </c>
      <c r="B7" s="68" t="s">
        <v>81</v>
      </c>
      <c r="C7" s="185" t="s">
        <v>156</v>
      </c>
      <c r="D7" s="185" t="s">
        <v>157</v>
      </c>
      <c r="E7" s="187">
        <f ca="1" t="shared" si="0"/>
        <v>5.6591</v>
      </c>
      <c r="F7" s="186"/>
    </row>
    <row r="8" s="169" customFormat="1" ht="24" customHeight="1" spans="1:14">
      <c r="A8" s="183">
        <v>3</v>
      </c>
      <c r="B8" s="68" t="s">
        <v>82</v>
      </c>
      <c r="C8" s="185" t="s">
        <v>156</v>
      </c>
      <c r="D8" s="185" t="s">
        <v>158</v>
      </c>
      <c r="E8" s="187">
        <f ca="1" t="shared" si="0"/>
        <v>10.4</v>
      </c>
      <c r="F8" s="186"/>
      <c r="H8" s="169" t="s">
        <v>154</v>
      </c>
      <c r="I8" s="169">
        <v>4647</v>
      </c>
      <c r="J8" s="169" t="s">
        <v>155</v>
      </c>
      <c r="K8" s="169">
        <v>2691.68</v>
      </c>
      <c r="L8" s="169">
        <f>I8-K8</f>
        <v>1955.32</v>
      </c>
      <c r="M8" s="169">
        <f>+L8/666.7*3</f>
        <v>8.79850007499625</v>
      </c>
      <c r="N8" s="169" t="str">
        <f>_xlfn.DISPIMG("ID_27CC447534C64F13AEF2C2D6D6933353",1)</f>
        <v>=DISPIMG("ID_27CC447534C64F13AEF2C2D6D6933353",1)</v>
      </c>
    </row>
    <row r="9" s="169" customFormat="1" ht="24" customHeight="1" spans="1:6">
      <c r="A9" s="183" t="s">
        <v>83</v>
      </c>
      <c r="B9" s="185" t="s">
        <v>84</v>
      </c>
      <c r="C9" s="185"/>
      <c r="D9" s="185"/>
      <c r="E9" s="184">
        <f ca="1">SUM(E10:E12)</f>
        <v>178.8803332</v>
      </c>
      <c r="F9" s="186"/>
    </row>
    <row r="10" s="169" customFormat="1" ht="24" customHeight="1" spans="1:14">
      <c r="A10" s="183">
        <v>1</v>
      </c>
      <c r="B10" s="185" t="s">
        <v>85</v>
      </c>
      <c r="C10" s="185" t="s">
        <v>159</v>
      </c>
      <c r="D10" s="185" t="s">
        <v>160</v>
      </c>
      <c r="E10" s="187">
        <f ca="1" t="shared" ref="E10:E14" si="1">EVALUATE(D10)</f>
        <v>70.4348</v>
      </c>
      <c r="F10" s="186"/>
      <c r="N10" s="169" t="str">
        <f>_xlfn.DISPIMG("ID_874AC4561BFF426BA1A2FACE06865F1B",1)</f>
        <v>=DISPIMG("ID_874AC4561BFF426BA1A2FACE06865F1B",1)</v>
      </c>
    </row>
    <row r="11" s="169" customFormat="1" ht="24" customHeight="1" spans="1:6">
      <c r="A11" s="183">
        <v>2</v>
      </c>
      <c r="B11" s="185" t="s">
        <v>86</v>
      </c>
      <c r="C11" s="185" t="s">
        <v>161</v>
      </c>
      <c r="D11" s="185" t="s">
        <v>162</v>
      </c>
      <c r="E11" s="187">
        <f ca="1" t="shared" si="1"/>
        <v>75.0298724</v>
      </c>
      <c r="F11" s="186"/>
    </row>
    <row r="12" s="169" customFormat="1" ht="51" customHeight="1" spans="1:6">
      <c r="A12" s="183">
        <v>3</v>
      </c>
      <c r="B12" s="185" t="s">
        <v>87</v>
      </c>
      <c r="C12" s="185" t="s">
        <v>163</v>
      </c>
      <c r="D12" s="185" t="s">
        <v>164</v>
      </c>
      <c r="E12" s="187">
        <f ca="1" t="shared" si="1"/>
        <v>33.4156608</v>
      </c>
      <c r="F12" s="186" t="s">
        <v>165</v>
      </c>
    </row>
    <row r="13" s="169" customFormat="1" ht="24" customHeight="1" spans="1:6">
      <c r="A13" s="183" t="s">
        <v>88</v>
      </c>
      <c r="B13" s="185" t="s">
        <v>89</v>
      </c>
      <c r="C13" s="185"/>
      <c r="D13" s="185"/>
      <c r="E13" s="184">
        <f ca="1">SUM(E14:E14)</f>
        <v>10.82</v>
      </c>
      <c r="F13" s="186"/>
    </row>
    <row r="14" s="169" customFormat="1" ht="24" customHeight="1" spans="1:6">
      <c r="A14" s="183">
        <v>1</v>
      </c>
      <c r="B14" s="185" t="s">
        <v>90</v>
      </c>
      <c r="C14" s="185" t="s">
        <v>166</v>
      </c>
      <c r="D14" s="184" t="s">
        <v>167</v>
      </c>
      <c r="E14" s="187">
        <f ca="1" t="shared" si="1"/>
        <v>10.82</v>
      </c>
      <c r="F14" s="186"/>
    </row>
    <row r="15" s="169" customFormat="1" ht="24" customHeight="1" spans="1:6">
      <c r="A15" s="183" t="s">
        <v>91</v>
      </c>
      <c r="B15" s="185" t="s">
        <v>92</v>
      </c>
      <c r="C15" s="185"/>
      <c r="D15" s="185"/>
      <c r="E15" s="184">
        <f ca="1">SUM(E16:E17)</f>
        <v>121.9394</v>
      </c>
      <c r="F15" s="186"/>
    </row>
    <row r="16" s="169" customFormat="1" ht="24" customHeight="1" spans="1:6">
      <c r="A16" s="183">
        <v>1</v>
      </c>
      <c r="B16" s="185" t="s">
        <v>93</v>
      </c>
      <c r="C16" s="185" t="s">
        <v>166</v>
      </c>
      <c r="D16" s="184">
        <v>25</v>
      </c>
      <c r="E16" s="187">
        <f ca="1" t="shared" ref="E16:E18" si="2">EVALUATE(D16)</f>
        <v>25</v>
      </c>
      <c r="F16" s="186"/>
    </row>
    <row r="17" s="169" customFormat="1" ht="24" customHeight="1" spans="1:6">
      <c r="A17" s="183">
        <v>2</v>
      </c>
      <c r="B17" s="185" t="s">
        <v>94</v>
      </c>
      <c r="C17" s="185" t="s">
        <v>166</v>
      </c>
      <c r="D17" s="184">
        <v>96.9394</v>
      </c>
      <c r="E17" s="187">
        <f ca="1" t="shared" si="2"/>
        <v>96.9394</v>
      </c>
      <c r="F17" s="186"/>
    </row>
    <row r="18" s="169" customFormat="1" ht="24" customHeight="1" spans="1:6">
      <c r="A18" s="183" t="s">
        <v>95</v>
      </c>
      <c r="B18" s="185" t="s">
        <v>96</v>
      </c>
      <c r="C18" s="185" t="s">
        <v>168</v>
      </c>
      <c r="D18" s="185" t="s">
        <v>169</v>
      </c>
      <c r="E18" s="187">
        <f ca="1" t="shared" ref="E18:E20" si="3">EVALUATE(D18)</f>
        <v>1.19570823529412</v>
      </c>
      <c r="F18" s="186"/>
    </row>
    <row r="19" s="169" customFormat="1" ht="24" customHeight="1" spans="1:6">
      <c r="A19" s="183" t="s">
        <v>97</v>
      </c>
      <c r="B19" s="185" t="s">
        <v>98</v>
      </c>
      <c r="C19" s="185" t="s">
        <v>170</v>
      </c>
      <c r="D19" s="185" t="s">
        <v>171</v>
      </c>
      <c r="E19" s="187">
        <f ca="1" t="shared" si="3"/>
        <v>2.304</v>
      </c>
      <c r="F19" s="186"/>
    </row>
    <row r="20" s="169" customFormat="1" ht="24" customHeight="1" spans="1:6">
      <c r="A20" s="183" t="s">
        <v>99</v>
      </c>
      <c r="B20" s="185" t="s">
        <v>100</v>
      </c>
      <c r="C20" s="185" t="s">
        <v>172</v>
      </c>
      <c r="D20" s="185" t="s">
        <v>173</v>
      </c>
      <c r="E20" s="187">
        <f ca="1" t="shared" ref="E20:E23" si="4">EVALUATE(D20)</f>
        <v>4.36232</v>
      </c>
      <c r="F20" s="186"/>
    </row>
    <row r="21" s="169" customFormat="1" ht="24" customHeight="1" spans="1:6">
      <c r="A21" s="183" t="s">
        <v>101</v>
      </c>
      <c r="B21" s="185" t="s">
        <v>102</v>
      </c>
      <c r="C21" s="185" t="s">
        <v>174</v>
      </c>
      <c r="D21" s="185" t="s">
        <v>175</v>
      </c>
      <c r="E21" s="187">
        <f ca="1" t="shared" si="4"/>
        <v>21.8116</v>
      </c>
      <c r="F21" s="186"/>
    </row>
    <row r="22" s="169" customFormat="1" ht="24" customHeight="1" spans="1:6">
      <c r="A22" s="183" t="s">
        <v>103</v>
      </c>
      <c r="B22" s="185" t="s">
        <v>104</v>
      </c>
      <c r="C22" s="185" t="s">
        <v>176</v>
      </c>
      <c r="D22" s="185" t="s">
        <v>177</v>
      </c>
      <c r="E22" s="187">
        <f ca="1" t="shared" si="4"/>
        <v>13.08696</v>
      </c>
      <c r="F22" s="186"/>
    </row>
    <row r="23" s="169" customFormat="1" ht="48" customHeight="1" spans="1:6">
      <c r="A23" s="183" t="s">
        <v>105</v>
      </c>
      <c r="B23" s="185" t="s">
        <v>106</v>
      </c>
      <c r="C23" s="185" t="s">
        <v>178</v>
      </c>
      <c r="D23" s="185" t="s">
        <v>179</v>
      </c>
      <c r="E23" s="187">
        <f ca="1" t="shared" ref="E23:E25" si="5">EVALUATE(D23)</f>
        <v>30.69662</v>
      </c>
      <c r="F23" s="186"/>
    </row>
    <row r="24" s="169" customFormat="1" ht="24" customHeight="1" spans="1:6">
      <c r="A24" s="183" t="s">
        <v>107</v>
      </c>
      <c r="B24" s="185" t="s">
        <v>108</v>
      </c>
      <c r="C24" s="185" t="s">
        <v>180</v>
      </c>
      <c r="D24" s="185" t="s">
        <v>181</v>
      </c>
      <c r="E24" s="187">
        <f ca="1" t="shared" si="5"/>
        <v>6.86232</v>
      </c>
      <c r="F24" s="186"/>
    </row>
    <row r="25" s="169" customFormat="1" ht="24" customHeight="1" spans="1:6">
      <c r="A25" s="183" t="s">
        <v>109</v>
      </c>
      <c r="B25" s="185" t="s">
        <v>110</v>
      </c>
      <c r="C25" s="185" t="s">
        <v>182</v>
      </c>
      <c r="D25" s="185" t="s">
        <v>183</v>
      </c>
      <c r="E25" s="187">
        <f ca="1" t="shared" ref="E25:E27" si="6">EVALUATE(D25)</f>
        <v>20.21658</v>
      </c>
      <c r="F25" s="188" t="s">
        <v>184</v>
      </c>
    </row>
    <row r="26" s="169" customFormat="1" ht="24" customHeight="1" spans="1:6">
      <c r="A26" s="183" t="s">
        <v>111</v>
      </c>
      <c r="B26" s="185" t="s">
        <v>112</v>
      </c>
      <c r="C26" s="185" t="s">
        <v>185</v>
      </c>
      <c r="D26" s="185" t="s">
        <v>186</v>
      </c>
      <c r="E26" s="187">
        <f ca="1" t="shared" si="6"/>
        <v>0.3706373</v>
      </c>
      <c r="F26" s="186"/>
    </row>
    <row r="27" s="169" customFormat="1" ht="24" customHeight="1" spans="1:6">
      <c r="A27" s="183" t="s">
        <v>113</v>
      </c>
      <c r="B27" s="185" t="s">
        <v>114</v>
      </c>
      <c r="C27" s="185" t="s">
        <v>187</v>
      </c>
      <c r="D27" s="185" t="s">
        <v>188</v>
      </c>
      <c r="E27" s="187">
        <f ca="1" t="shared" ref="E27:E30" si="7">EVALUATE(D27)</f>
        <v>5.1112</v>
      </c>
      <c r="F27" s="186"/>
    </row>
    <row r="28" s="169" customFormat="1" ht="24" customHeight="1" spans="1:6">
      <c r="A28" s="183" t="s">
        <v>115</v>
      </c>
      <c r="B28" s="185" t="s">
        <v>116</v>
      </c>
      <c r="C28" s="185" t="s">
        <v>189</v>
      </c>
      <c r="D28" s="185" t="s">
        <v>190</v>
      </c>
      <c r="E28" s="187">
        <f ca="1" t="shared" si="7"/>
        <v>19.13169</v>
      </c>
      <c r="F28" s="186"/>
    </row>
    <row r="29" s="169" customFormat="1" ht="24" customHeight="1" spans="1:6">
      <c r="A29" s="183" t="s">
        <v>117</v>
      </c>
      <c r="B29" s="185" t="s">
        <v>118</v>
      </c>
      <c r="C29" s="185" t="s">
        <v>191</v>
      </c>
      <c r="D29" s="185" t="s">
        <v>192</v>
      </c>
      <c r="E29" s="187">
        <f ca="1" t="shared" si="7"/>
        <v>33.6943</v>
      </c>
      <c r="F29" s="186"/>
    </row>
    <row r="30" s="169" customFormat="1" ht="24" customHeight="1" spans="1:6">
      <c r="A30" s="183" t="s">
        <v>119</v>
      </c>
      <c r="B30" s="185" t="s">
        <v>120</v>
      </c>
      <c r="C30" s="185" t="s">
        <v>193</v>
      </c>
      <c r="D30" s="185" t="s">
        <v>194</v>
      </c>
      <c r="E30" s="187">
        <f ca="1" t="shared" si="7"/>
        <v>6.107248</v>
      </c>
      <c r="F30" s="186"/>
    </row>
    <row r="31" s="169" customFormat="1" ht="24" customHeight="1" spans="1:6">
      <c r="A31" s="183"/>
      <c r="B31" s="185" t="s">
        <v>121</v>
      </c>
      <c r="C31" s="185"/>
      <c r="D31" s="185"/>
      <c r="E31" s="184">
        <f ca="1">+SUM(E18:E30,E15,E13,E9,E5)</f>
        <v>499.476959715294</v>
      </c>
      <c r="F31" s="186"/>
    </row>
    <row r="34" spans="5:5">
      <c r="E34" s="173">
        <v>582.8236015</v>
      </c>
    </row>
  </sheetData>
  <mergeCells count="2">
    <mergeCell ref="A1:F1"/>
    <mergeCell ref="A2:F2"/>
  </mergeCells>
  <printOptions horizontalCentered="1"/>
  <pageMargins left="0.279166666666667" right="0.0784722222222222" top="0.389583333333333" bottom="0.389583333333333" header="0.200694444444444" footer="0.118055555555556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zoomScaleSheetLayoutView="60" topLeftCell="A10" workbookViewId="0">
      <selection activeCell="C15" sqref="C15"/>
    </sheetView>
  </sheetViews>
  <sheetFormatPr defaultColWidth="9.625" defaultRowHeight="15.75" customHeight="1" outlineLevelCol="6"/>
  <cols>
    <col min="1" max="1" width="4.375" style="134" customWidth="1"/>
    <col min="2" max="2" width="30.325" style="134" customWidth="1"/>
    <col min="3" max="3" width="14.2333333333333" style="135" customWidth="1"/>
    <col min="4" max="4" width="14.2333333333333" style="134" customWidth="1"/>
    <col min="5" max="5" width="16.9583333333333" style="134" customWidth="1"/>
    <col min="6" max="16384" width="9.625" style="134"/>
  </cols>
  <sheetData>
    <row r="1" ht="30.75" customHeight="1" spans="1:5">
      <c r="A1" s="137" t="s">
        <v>195</v>
      </c>
      <c r="B1" s="137"/>
      <c r="C1" s="137"/>
      <c r="D1" s="137"/>
      <c r="E1" s="137"/>
    </row>
    <row r="2" ht="38" customHeight="1" spans="1:5">
      <c r="A2" s="138" t="s">
        <v>196</v>
      </c>
      <c r="B2" s="138"/>
      <c r="C2" s="138"/>
      <c r="D2" s="138"/>
      <c r="E2" s="138"/>
    </row>
    <row r="3" s="133" customFormat="1" ht="28" customHeight="1" spans="1:5">
      <c r="A3" s="139" t="str">
        <f>工程建设其他费用计算表02表!A3</f>
        <v>项目名称：闽清县总医院金沙分院</v>
      </c>
      <c r="B3" s="139"/>
      <c r="C3" s="155"/>
      <c r="D3" s="139"/>
      <c r="E3" s="139"/>
    </row>
    <row r="4" ht="26" customHeight="1" spans="1:5">
      <c r="A4" s="156" t="s">
        <v>147</v>
      </c>
      <c r="B4" s="156" t="s">
        <v>3</v>
      </c>
      <c r="C4" s="157" t="s">
        <v>197</v>
      </c>
      <c r="D4" s="158" t="s">
        <v>198</v>
      </c>
      <c r="E4" s="158" t="s">
        <v>6</v>
      </c>
    </row>
    <row r="5" ht="26" customHeight="1" spans="1:7">
      <c r="A5" s="159" t="s">
        <v>19</v>
      </c>
      <c r="B5" s="160" t="s">
        <v>17</v>
      </c>
      <c r="C5" s="161">
        <f>工程概算表01表!P6</f>
        <v>4362.3189</v>
      </c>
      <c r="D5" s="162">
        <f ca="1">C5/$C$16</f>
        <v>0.636916312476815</v>
      </c>
      <c r="E5" s="163" t="s">
        <v>199</v>
      </c>
      <c r="G5" s="151"/>
    </row>
    <row r="6" ht="26" customHeight="1" spans="1:5">
      <c r="A6" s="164">
        <v>1</v>
      </c>
      <c r="B6" s="150" t="s">
        <v>20</v>
      </c>
      <c r="C6" s="165">
        <f>工程概算表01表!P19</f>
        <v>3057.4194</v>
      </c>
      <c r="D6" s="166">
        <f ca="1">C6/$C$16</f>
        <v>0.446395675002824</v>
      </c>
      <c r="E6" s="158" t="s">
        <v>200</v>
      </c>
    </row>
    <row r="7" ht="26" customHeight="1" spans="1:5">
      <c r="A7" s="164">
        <v>2</v>
      </c>
      <c r="B7" s="150" t="s">
        <v>35</v>
      </c>
      <c r="C7" s="165">
        <f>工程概算表01表!P31</f>
        <v>290.3171</v>
      </c>
      <c r="D7" s="166">
        <f ca="1">C7/$C$16</f>
        <v>0.0423874780867035</v>
      </c>
      <c r="E7" s="158" t="s">
        <v>200</v>
      </c>
    </row>
    <row r="8" ht="26" customHeight="1" spans="1:5">
      <c r="A8" s="164">
        <v>3</v>
      </c>
      <c r="B8" s="150" t="s">
        <v>46</v>
      </c>
      <c r="C8" s="165">
        <f>工程概算表01表!P42</f>
        <v>569.513</v>
      </c>
      <c r="D8" s="166">
        <f ca="1" t="shared" ref="D8:D15" si="0">C8/$C$16</f>
        <v>0.0831512157141029</v>
      </c>
      <c r="E8" s="158" t="s">
        <v>200</v>
      </c>
    </row>
    <row r="9" ht="26" customHeight="1" spans="1:5">
      <c r="A9" s="164">
        <v>4</v>
      </c>
      <c r="B9" s="150" t="s">
        <v>62</v>
      </c>
      <c r="C9" s="165">
        <f>工程概算表01表!P51</f>
        <v>432.5681</v>
      </c>
      <c r="D9" s="166">
        <f ca="1" t="shared" si="0"/>
        <v>0.0631567029973673</v>
      </c>
      <c r="E9" s="158" t="s">
        <v>200</v>
      </c>
    </row>
    <row r="10" ht="26" customHeight="1" spans="1:5">
      <c r="A10" s="164">
        <v>5</v>
      </c>
      <c r="B10" s="150" t="s">
        <v>72</v>
      </c>
      <c r="C10" s="165">
        <f>工程概算表01表!P55</f>
        <v>12.5013</v>
      </c>
      <c r="D10" s="166">
        <f ca="1" t="shared" si="0"/>
        <v>0.00182524067581726</v>
      </c>
      <c r="E10" s="158" t="s">
        <v>200</v>
      </c>
    </row>
    <row r="11" s="154" customFormat="1" ht="26" customHeight="1" spans="1:5">
      <c r="A11" s="159" t="s">
        <v>34</v>
      </c>
      <c r="B11" s="160" t="s">
        <v>77</v>
      </c>
      <c r="C11" s="161">
        <f ca="1">工程概算表01表!P83</f>
        <v>499.476959715294</v>
      </c>
      <c r="D11" s="162">
        <f ca="1" t="shared" si="0"/>
        <v>0.0729256688109152</v>
      </c>
      <c r="E11" s="163" t="s">
        <v>199</v>
      </c>
    </row>
    <row r="12" s="154" customFormat="1" ht="26" customHeight="1" spans="1:5">
      <c r="A12" s="159" t="s">
        <v>45</v>
      </c>
      <c r="B12" s="160" t="s">
        <v>201</v>
      </c>
      <c r="C12" s="161">
        <f>工程概算表01表!P84</f>
        <v>1507.7</v>
      </c>
      <c r="D12" s="162">
        <f ca="1" t="shared" si="0"/>
        <v>0.220130335799451</v>
      </c>
      <c r="E12" s="163" t="s">
        <v>199</v>
      </c>
    </row>
    <row r="13" ht="26" customHeight="1" spans="1:5">
      <c r="A13" s="159" t="s">
        <v>61</v>
      </c>
      <c r="B13" s="160" t="s">
        <v>128</v>
      </c>
      <c r="C13" s="161">
        <f ca="1">工程概算表01表!P88</f>
        <v>190.398294502059</v>
      </c>
      <c r="D13" s="162">
        <f ca="1" t="shared" si="0"/>
        <v>0.0277989258502229</v>
      </c>
      <c r="E13" s="163" t="s">
        <v>199</v>
      </c>
    </row>
    <row r="14" s="154" customFormat="1" ht="26" customHeight="1" spans="1:5">
      <c r="A14" s="159" t="s">
        <v>71</v>
      </c>
      <c r="B14" s="160" t="s">
        <v>202</v>
      </c>
      <c r="C14" s="161">
        <f ca="1">C5+C13+C12+C11</f>
        <v>6559.89415421735</v>
      </c>
      <c r="D14" s="162">
        <f ca="1" t="shared" si="0"/>
        <v>0.957771242937404</v>
      </c>
      <c r="E14" s="163" t="s">
        <v>199</v>
      </c>
    </row>
    <row r="15" ht="26" customHeight="1" spans="1:5">
      <c r="A15" s="159" t="s">
        <v>203</v>
      </c>
      <c r="B15" s="160" t="s">
        <v>135</v>
      </c>
      <c r="C15" s="161">
        <f>工程概算表01表!P91</f>
        <v>289.23</v>
      </c>
      <c r="D15" s="162">
        <f ca="1" t="shared" si="0"/>
        <v>0.0422287570625956</v>
      </c>
      <c r="E15" s="163" t="s">
        <v>199</v>
      </c>
    </row>
    <row r="16" ht="26" customHeight="1" spans="1:5">
      <c r="A16" s="159" t="s">
        <v>204</v>
      </c>
      <c r="B16" s="160" t="s">
        <v>205</v>
      </c>
      <c r="C16" s="161">
        <f ca="1">C14+C15</f>
        <v>6849.12415421735</v>
      </c>
      <c r="D16" s="162">
        <f ca="1">C16/C16</f>
        <v>1</v>
      </c>
      <c r="E16" s="163" t="s">
        <v>199</v>
      </c>
    </row>
    <row r="17" customHeight="1" spans="1:4">
      <c r="A17" s="151"/>
      <c r="B17" s="152"/>
      <c r="C17" s="153"/>
      <c r="D17" s="153"/>
    </row>
    <row r="18" customHeight="1" spans="1:4">
      <c r="A18" s="151"/>
      <c r="B18" s="151"/>
      <c r="C18" s="153"/>
      <c r="D18" s="153"/>
    </row>
  </sheetData>
  <mergeCells count="2">
    <mergeCell ref="A1:E1"/>
    <mergeCell ref="A2:E2"/>
  </mergeCells>
  <pageMargins left="1.04" right="0.74" top="0.66" bottom="1" header="0.5" footer="0.5"/>
  <pageSetup paperSize="9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zoomScaleSheetLayoutView="60" topLeftCell="A5" workbookViewId="0">
      <selection activeCell="C10" sqref="C10"/>
    </sheetView>
  </sheetViews>
  <sheetFormatPr defaultColWidth="9.625" defaultRowHeight="15.75" customHeight="1" outlineLevelCol="7"/>
  <cols>
    <col min="1" max="1" width="7.5" style="134" customWidth="1"/>
    <col min="2" max="2" width="24.2583333333333" style="134" customWidth="1"/>
    <col min="3" max="3" width="15.2166666666667" style="134" customWidth="1"/>
    <col min="4" max="4" width="15.2166666666667" style="135" customWidth="1"/>
    <col min="5" max="5" width="15.2166666666667" style="136" customWidth="1"/>
    <col min="6" max="6" width="16.875" style="134" customWidth="1"/>
    <col min="7" max="16384" width="9.625" style="134"/>
  </cols>
  <sheetData>
    <row r="1" ht="30.75" customHeight="1" spans="1:6">
      <c r="A1" s="137" t="s">
        <v>206</v>
      </c>
      <c r="B1" s="137"/>
      <c r="C1" s="137"/>
      <c r="D1" s="137"/>
      <c r="E1" s="137"/>
      <c r="F1" s="137"/>
    </row>
    <row r="2" ht="42" customHeight="1" spans="1:6">
      <c r="A2" s="138" t="s">
        <v>207</v>
      </c>
      <c r="B2" s="138"/>
      <c r="C2" s="138"/>
      <c r="D2" s="138"/>
      <c r="E2" s="138"/>
      <c r="F2" s="138"/>
    </row>
    <row r="3" s="133" customFormat="1" ht="27" customHeight="1" spans="1:5">
      <c r="A3" s="139" t="str">
        <f>项目概算总投资简明表03表!A3</f>
        <v>项目名称：闽清县总医院金沙分院</v>
      </c>
      <c r="B3" s="139"/>
      <c r="C3" s="139"/>
      <c r="D3" s="140"/>
      <c r="E3" s="141"/>
    </row>
    <row r="4" s="133" customFormat="1" ht="31" customHeight="1" spans="1:6">
      <c r="A4" s="142" t="s">
        <v>147</v>
      </c>
      <c r="B4" s="142" t="s">
        <v>3</v>
      </c>
      <c r="C4" s="143" t="s">
        <v>208</v>
      </c>
      <c r="D4" s="143" t="s">
        <v>209</v>
      </c>
      <c r="E4" s="144" t="s">
        <v>210</v>
      </c>
      <c r="F4" s="142" t="s">
        <v>6</v>
      </c>
    </row>
    <row r="5" s="133" customFormat="1" ht="31" customHeight="1" spans="1:6">
      <c r="A5" s="142"/>
      <c r="B5" s="142"/>
      <c r="C5" s="143"/>
      <c r="D5" s="143"/>
      <c r="E5" s="144"/>
      <c r="F5" s="142"/>
    </row>
    <row r="6" s="133" customFormat="1" ht="31" customHeight="1" spans="1:8">
      <c r="A6" s="145">
        <v>1</v>
      </c>
      <c r="B6" s="145" t="s">
        <v>211</v>
      </c>
      <c r="C6" s="146">
        <f>工程概算表01表!L92</f>
        <v>2697.5655</v>
      </c>
      <c r="D6" s="146">
        <f t="shared" ref="D6:D13" si="0">SUM(C6:C6)</f>
        <v>2697.5655</v>
      </c>
      <c r="E6" s="144">
        <f ca="1" t="shared" ref="E6:E13" si="1">D6/$C$13</f>
        <v>0.393855541126229</v>
      </c>
      <c r="F6" s="142"/>
      <c r="H6" s="147"/>
    </row>
    <row r="7" s="133" customFormat="1" ht="31" customHeight="1" spans="1:6">
      <c r="A7" s="145">
        <v>2</v>
      </c>
      <c r="B7" s="145" t="s">
        <v>212</v>
      </c>
      <c r="C7" s="146">
        <f>工程概算表01表!M92</f>
        <v>2007.8412</v>
      </c>
      <c r="D7" s="146">
        <f t="shared" si="0"/>
        <v>2007.8412</v>
      </c>
      <c r="E7" s="144">
        <f ca="1" t="shared" si="1"/>
        <v>0.293152986395154</v>
      </c>
      <c r="F7" s="142"/>
    </row>
    <row r="8" s="133" customFormat="1" ht="31" customHeight="1" spans="1:6">
      <c r="A8" s="145">
        <v>3</v>
      </c>
      <c r="B8" s="145" t="s">
        <v>74</v>
      </c>
      <c r="C8" s="146">
        <f>工程概算表01表!N92</f>
        <v>1164.6122</v>
      </c>
      <c r="D8" s="146">
        <f t="shared" si="0"/>
        <v>1164.6122</v>
      </c>
      <c r="E8" s="144">
        <f ca="1" t="shared" si="1"/>
        <v>0.170038120754884</v>
      </c>
      <c r="F8" s="142"/>
    </row>
    <row r="9" s="133" customFormat="1" ht="31" customHeight="1" spans="1:6">
      <c r="A9" s="145">
        <v>4</v>
      </c>
      <c r="B9" s="145" t="s">
        <v>77</v>
      </c>
      <c r="C9" s="146">
        <f ca="1">工程概算表01表!O92-C10-C12</f>
        <v>499.476959715294</v>
      </c>
      <c r="D9" s="146">
        <f ca="1" t="shared" si="0"/>
        <v>499.476959715294</v>
      </c>
      <c r="E9" s="144">
        <f ca="1" t="shared" si="1"/>
        <v>0.0729256688109151</v>
      </c>
      <c r="F9" s="142"/>
    </row>
    <row r="10" s="133" customFormat="1" ht="31" customHeight="1" spans="1:6">
      <c r="A10" s="145">
        <v>5</v>
      </c>
      <c r="B10" s="145" t="s">
        <v>129</v>
      </c>
      <c r="C10" s="146">
        <f ca="1">工程概算表01表!O88</f>
        <v>190.398294502059</v>
      </c>
      <c r="D10" s="146">
        <f ca="1" t="shared" si="0"/>
        <v>190.398294502059</v>
      </c>
      <c r="E10" s="144">
        <f ca="1" t="shared" si="1"/>
        <v>0.0277989258502229</v>
      </c>
      <c r="F10" s="142"/>
    </row>
    <row r="11" s="133" customFormat="1" ht="31" customHeight="1" spans="1:6">
      <c r="A11" s="148">
        <v>6</v>
      </c>
      <c r="B11" s="149" t="s">
        <v>213</v>
      </c>
      <c r="C11" s="146">
        <f ca="1">SUM(C6:C10)</f>
        <v>6559.89415421735</v>
      </c>
      <c r="D11" s="146">
        <f ca="1" t="shared" si="0"/>
        <v>6559.89415421735</v>
      </c>
      <c r="E11" s="144">
        <f ca="1" t="shared" si="1"/>
        <v>0.957771242937404</v>
      </c>
      <c r="F11" s="142"/>
    </row>
    <row r="12" s="133" customFormat="1" ht="31" customHeight="1" spans="1:6">
      <c r="A12" s="148">
        <v>7</v>
      </c>
      <c r="B12" s="150" t="s">
        <v>135</v>
      </c>
      <c r="C12" s="146">
        <f>工程概算表01表!P91</f>
        <v>289.23</v>
      </c>
      <c r="D12" s="146">
        <f t="shared" si="0"/>
        <v>289.23</v>
      </c>
      <c r="E12" s="144">
        <f ca="1" t="shared" si="1"/>
        <v>0.0422287570625956</v>
      </c>
      <c r="F12" s="142"/>
    </row>
    <row r="13" s="133" customFormat="1" ht="31" customHeight="1" spans="1:6">
      <c r="A13" s="148">
        <v>8</v>
      </c>
      <c r="B13" s="149" t="s">
        <v>214</v>
      </c>
      <c r="C13" s="146">
        <f ca="1">项目概算总投资简明表03表!C16</f>
        <v>6849.12415421735</v>
      </c>
      <c r="D13" s="146">
        <f ca="1" t="shared" si="0"/>
        <v>6849.12415421735</v>
      </c>
      <c r="E13" s="144">
        <f ca="1" t="shared" si="1"/>
        <v>1</v>
      </c>
      <c r="F13" s="142"/>
    </row>
    <row r="14" customHeight="1" spans="1:4">
      <c r="A14" s="151"/>
      <c r="B14" s="152"/>
      <c r="C14" s="152"/>
      <c r="D14" s="153"/>
    </row>
    <row r="15" customHeight="1" spans="1:4">
      <c r="A15" s="151"/>
      <c r="B15" s="151"/>
      <c r="C15" s="151"/>
      <c r="D15" s="153"/>
    </row>
  </sheetData>
  <mergeCells count="8">
    <mergeCell ref="A1:F1"/>
    <mergeCell ref="A2:F2"/>
    <mergeCell ref="A4:A5"/>
    <mergeCell ref="B4:B5"/>
    <mergeCell ref="C4:C5"/>
    <mergeCell ref="D4:D5"/>
    <mergeCell ref="E4:E5"/>
    <mergeCell ref="F4:F5"/>
  </mergeCells>
  <pageMargins left="1.04" right="0.74" top="0.66" bottom="1" header="0.5" footer="0.5"/>
  <pageSetup paperSize="9" scale="89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T101"/>
  <sheetViews>
    <sheetView view="pageBreakPreview" zoomScaleNormal="90" workbookViewId="0">
      <pane xSplit="2" ySplit="6" topLeftCell="C97" activePane="bottomRight" state="frozen"/>
      <selection/>
      <selection pane="topRight"/>
      <selection pane="bottomLeft"/>
      <selection pane="bottomRight" activeCell="B95" sqref="B95:G101"/>
    </sheetView>
  </sheetViews>
  <sheetFormatPr defaultColWidth="9" defaultRowHeight="13.5"/>
  <cols>
    <col min="1" max="1" width="6.625" style="1" customWidth="1"/>
    <col min="2" max="2" width="26.3666666666667" style="1" customWidth="1"/>
    <col min="3" max="7" width="10.125" style="1" customWidth="1" outlineLevel="1"/>
    <col min="8" max="8" width="5.54166666666667" style="1" hidden="1" customWidth="1" outlineLevel="1"/>
    <col min="9" max="9" width="11.375" style="1" hidden="1" customWidth="1" outlineLevel="1"/>
    <col min="10" max="10" width="11.375" style="28" hidden="1" customWidth="1" outlineLevel="1"/>
    <col min="11" max="11" width="10.7583333333333" style="1" hidden="1" customWidth="1" outlineLevel="1"/>
    <col min="12" max="16" width="10.125" style="31" customWidth="1"/>
    <col min="17" max="17" width="6" style="1" hidden="1" customWidth="1"/>
    <col min="18" max="18" width="11.375" style="31" hidden="1" customWidth="1"/>
    <col min="19" max="19" width="14.2333333333333" style="31" hidden="1" customWidth="1"/>
    <col min="20" max="20" width="12.2833333333333" style="1" hidden="1" customWidth="1"/>
    <col min="21" max="21" width="9" style="1"/>
    <col min="22" max="22" width="14.125" style="1"/>
    <col min="23" max="16384" width="9" style="1"/>
  </cols>
  <sheetData>
    <row r="1" s="1" customFormat="1" ht="30" customHeight="1" spans="1:10">
      <c r="A1" s="3" t="s">
        <v>215</v>
      </c>
      <c r="B1" s="43"/>
      <c r="J1" s="28"/>
    </row>
    <row r="2" s="1" customFormat="1" ht="30" customHeight="1" spans="1:20">
      <c r="A2" s="32" t="s">
        <v>216</v>
      </c>
      <c r="B2" s="44"/>
      <c r="C2" s="45"/>
      <c r="D2" s="45"/>
      <c r="E2" s="45"/>
      <c r="F2" s="45"/>
      <c r="G2" s="45"/>
      <c r="H2" s="45"/>
      <c r="I2" s="45"/>
      <c r="J2" s="7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ht="20" customHeight="1" spans="1:20">
      <c r="A3" s="46" t="s">
        <v>217</v>
      </c>
      <c r="B3" s="47"/>
      <c r="C3" s="47"/>
      <c r="D3" s="47"/>
      <c r="E3" s="47"/>
      <c r="F3" s="47"/>
      <c r="G3" s="47"/>
      <c r="H3" s="47"/>
      <c r="I3" s="47"/>
      <c r="J3" s="76"/>
      <c r="K3" s="47"/>
      <c r="L3" s="77"/>
      <c r="M3" s="77"/>
      <c r="N3" s="77"/>
      <c r="O3" s="77"/>
      <c r="P3" s="77"/>
      <c r="Q3" s="47"/>
      <c r="R3" s="77"/>
      <c r="S3" s="77"/>
      <c r="T3" s="47"/>
    </row>
    <row r="4" ht="21" customHeight="1" spans="1:20">
      <c r="A4" s="48" t="s">
        <v>2</v>
      </c>
      <c r="B4" s="49" t="s">
        <v>3</v>
      </c>
      <c r="C4" s="49" t="s">
        <v>4</v>
      </c>
      <c r="D4" s="49"/>
      <c r="E4" s="49"/>
      <c r="F4" s="49"/>
      <c r="G4" s="49"/>
      <c r="H4" s="49" t="s">
        <v>5</v>
      </c>
      <c r="I4" s="49"/>
      <c r="J4" s="78"/>
      <c r="K4" s="49" t="s">
        <v>6</v>
      </c>
      <c r="L4" s="79" t="s">
        <v>7</v>
      </c>
      <c r="M4" s="79"/>
      <c r="N4" s="79"/>
      <c r="O4" s="79"/>
      <c r="P4" s="79"/>
      <c r="Q4" s="49" t="s">
        <v>5</v>
      </c>
      <c r="R4" s="79"/>
      <c r="S4" s="79"/>
      <c r="T4" s="92" t="s">
        <v>6</v>
      </c>
    </row>
    <row r="5" ht="34" customHeight="1" spans="1:20">
      <c r="A5" s="50"/>
      <c r="B5" s="51"/>
      <c r="C5" s="52" t="s">
        <v>8</v>
      </c>
      <c r="D5" s="52" t="s">
        <v>9</v>
      </c>
      <c r="E5" s="52" t="s">
        <v>10</v>
      </c>
      <c r="F5" s="52" t="s">
        <v>11</v>
      </c>
      <c r="G5" s="51" t="s">
        <v>12</v>
      </c>
      <c r="H5" s="52" t="s">
        <v>13</v>
      </c>
      <c r="I5" s="51" t="s">
        <v>14</v>
      </c>
      <c r="J5" s="80" t="s">
        <v>15</v>
      </c>
      <c r="K5" s="51"/>
      <c r="L5" s="81" t="s">
        <v>8</v>
      </c>
      <c r="M5" s="81" t="s">
        <v>9</v>
      </c>
      <c r="N5" s="81" t="s">
        <v>10</v>
      </c>
      <c r="O5" s="81" t="s">
        <v>11</v>
      </c>
      <c r="P5" s="82" t="s">
        <v>12</v>
      </c>
      <c r="Q5" s="52" t="s">
        <v>13</v>
      </c>
      <c r="R5" s="82" t="s">
        <v>14</v>
      </c>
      <c r="S5" s="81" t="s">
        <v>15</v>
      </c>
      <c r="T5" s="93"/>
    </row>
    <row r="6" s="40" customFormat="1" ht="18" hidden="1" customHeight="1" spans="1:20">
      <c r="A6" s="53">
        <v>1</v>
      </c>
      <c r="B6" s="54">
        <v>2</v>
      </c>
      <c r="C6" s="54">
        <v>3</v>
      </c>
      <c r="D6" s="54">
        <v>4</v>
      </c>
      <c r="E6" s="54">
        <v>5</v>
      </c>
      <c r="F6" s="54">
        <v>6</v>
      </c>
      <c r="G6" s="54">
        <v>7</v>
      </c>
      <c r="H6" s="54">
        <v>8</v>
      </c>
      <c r="I6" s="54">
        <v>9</v>
      </c>
      <c r="J6" s="83">
        <v>10</v>
      </c>
      <c r="K6" s="54">
        <v>11</v>
      </c>
      <c r="L6" s="84">
        <v>3</v>
      </c>
      <c r="M6" s="84">
        <v>4</v>
      </c>
      <c r="N6" s="84">
        <v>5</v>
      </c>
      <c r="O6" s="84">
        <v>6</v>
      </c>
      <c r="P6" s="84">
        <v>7</v>
      </c>
      <c r="Q6" s="54">
        <v>8</v>
      </c>
      <c r="R6" s="84">
        <v>9</v>
      </c>
      <c r="S6" s="84">
        <v>10</v>
      </c>
      <c r="T6" s="94">
        <v>11</v>
      </c>
    </row>
    <row r="7" s="40" customFormat="1" ht="23" customHeight="1" spans="1:20">
      <c r="A7" s="55" t="s">
        <v>16</v>
      </c>
      <c r="B7" s="56" t="s">
        <v>17</v>
      </c>
      <c r="C7" s="57">
        <f t="shared" ref="C7:G7" si="0">C56+C52+C43+C32+C20</f>
        <v>2942.98</v>
      </c>
      <c r="D7" s="57">
        <f t="shared" si="0"/>
        <v>709.24</v>
      </c>
      <c r="E7" s="57">
        <f t="shared" si="0"/>
        <v>756.44</v>
      </c>
      <c r="F7" s="57">
        <f t="shared" si="0"/>
        <v>0</v>
      </c>
      <c r="G7" s="57">
        <f t="shared" si="0"/>
        <v>4408.66</v>
      </c>
      <c r="H7" s="57" t="s">
        <v>18</v>
      </c>
      <c r="I7" s="57">
        <v>6668</v>
      </c>
      <c r="J7" s="57">
        <f t="shared" ref="J7:J20" si="1">+G7/I7*10000</f>
        <v>6611.66766646671</v>
      </c>
      <c r="K7" s="57"/>
      <c r="L7" s="57">
        <f t="shared" ref="L7:P7" si="2">L56+L52+L43+L32+L20</f>
        <v>2697.5655</v>
      </c>
      <c r="M7" s="57">
        <f t="shared" si="2"/>
        <v>500.1412</v>
      </c>
      <c r="N7" s="57">
        <f t="shared" si="2"/>
        <v>1164.6122</v>
      </c>
      <c r="O7" s="57">
        <f t="shared" si="2"/>
        <v>0</v>
      </c>
      <c r="P7" s="57">
        <f t="shared" si="2"/>
        <v>4362.3189</v>
      </c>
      <c r="Q7" s="57" t="s">
        <v>18</v>
      </c>
      <c r="R7" s="57">
        <v>6738.86</v>
      </c>
      <c r="S7" s="57">
        <f t="shared" ref="S7:S20" si="3">+P7/R7*10000</f>
        <v>6473.37813814206</v>
      </c>
      <c r="T7" s="95"/>
    </row>
    <row r="8" ht="23" customHeight="1" outlineLevel="1" spans="1:20">
      <c r="A8" s="55" t="s">
        <v>19</v>
      </c>
      <c r="B8" s="56" t="s">
        <v>20</v>
      </c>
      <c r="C8" s="58"/>
      <c r="D8" s="58"/>
      <c r="E8" s="58"/>
      <c r="F8" s="58"/>
      <c r="G8" s="58"/>
      <c r="H8" s="58"/>
      <c r="I8" s="58"/>
      <c r="J8" s="85"/>
      <c r="K8" s="58"/>
      <c r="L8" s="58"/>
      <c r="M8" s="58"/>
      <c r="N8" s="58"/>
      <c r="O8" s="58"/>
      <c r="P8" s="58"/>
      <c r="Q8" s="58"/>
      <c r="R8" s="58"/>
      <c r="S8" s="58"/>
      <c r="T8" s="95"/>
    </row>
    <row r="9" s="41" customFormat="1" ht="23" customHeight="1" outlineLevel="2" spans="1:20">
      <c r="A9" s="59">
        <v>1</v>
      </c>
      <c r="B9" s="60" t="s">
        <v>21</v>
      </c>
      <c r="C9" s="61">
        <v>0</v>
      </c>
      <c r="D9" s="61"/>
      <c r="E9" s="61"/>
      <c r="F9" s="61"/>
      <c r="G9" s="61">
        <f t="shared" ref="G9:G19" si="4">SUM(C9:F9)</f>
        <v>0</v>
      </c>
      <c r="H9" s="62" t="s">
        <v>18</v>
      </c>
      <c r="I9" s="61">
        <v>6317</v>
      </c>
      <c r="J9" s="86">
        <f t="shared" si="1"/>
        <v>0</v>
      </c>
      <c r="K9" s="61"/>
      <c r="L9" s="61">
        <v>34.04</v>
      </c>
      <c r="M9" s="61"/>
      <c r="N9" s="61"/>
      <c r="O9" s="61"/>
      <c r="P9" s="61">
        <f t="shared" ref="P9:P19" si="5">SUM(L9:O9)</f>
        <v>34.04</v>
      </c>
      <c r="Q9" s="62" t="str">
        <f t="shared" ref="Q9:Q20" si="6">H9</f>
        <v>m²</v>
      </c>
      <c r="R9" s="61">
        <v>6377.23</v>
      </c>
      <c r="S9" s="61">
        <f t="shared" si="3"/>
        <v>53.377406805149</v>
      </c>
      <c r="T9" s="96"/>
    </row>
    <row r="10" s="41" customFormat="1" ht="23" customHeight="1" outlineLevel="2" spans="1:20">
      <c r="A10" s="59">
        <v>2</v>
      </c>
      <c r="B10" s="60" t="s">
        <v>22</v>
      </c>
      <c r="C10" s="61">
        <v>821.21</v>
      </c>
      <c r="D10" s="61"/>
      <c r="E10" s="61"/>
      <c r="F10" s="61"/>
      <c r="G10" s="61">
        <f t="shared" si="4"/>
        <v>821.21</v>
      </c>
      <c r="H10" s="62" t="s">
        <v>18</v>
      </c>
      <c r="I10" s="61">
        <v>6317</v>
      </c>
      <c r="J10" s="86">
        <f t="shared" si="1"/>
        <v>1300</v>
      </c>
      <c r="K10" s="61"/>
      <c r="L10" s="61">
        <f>1007.92+3.286</f>
        <v>1011.206</v>
      </c>
      <c r="M10" s="61"/>
      <c r="N10" s="61"/>
      <c r="O10" s="61"/>
      <c r="P10" s="61">
        <f t="shared" si="5"/>
        <v>1011.206</v>
      </c>
      <c r="Q10" s="62" t="str">
        <f t="shared" si="6"/>
        <v>m²</v>
      </c>
      <c r="R10" s="61">
        <v>6377.23</v>
      </c>
      <c r="S10" s="61">
        <f t="shared" si="3"/>
        <v>1585.65082331984</v>
      </c>
      <c r="T10" s="96"/>
    </row>
    <row r="11" s="41" customFormat="1" ht="23" customHeight="1" outlineLevel="2" spans="1:20">
      <c r="A11" s="59">
        <v>3</v>
      </c>
      <c r="B11" s="60" t="s">
        <v>23</v>
      </c>
      <c r="C11" s="61">
        <v>442.19</v>
      </c>
      <c r="D11" s="61"/>
      <c r="E11" s="61"/>
      <c r="F11" s="61"/>
      <c r="G11" s="61">
        <f t="shared" si="4"/>
        <v>442.19</v>
      </c>
      <c r="H11" s="62" t="s">
        <v>18</v>
      </c>
      <c r="I11" s="61">
        <v>6317</v>
      </c>
      <c r="J11" s="86">
        <f t="shared" si="1"/>
        <v>700</v>
      </c>
      <c r="K11" s="61"/>
      <c r="L11" s="61">
        <v>389.13</v>
      </c>
      <c r="M11" s="61"/>
      <c r="N11" s="61"/>
      <c r="O11" s="61"/>
      <c r="P11" s="61">
        <f t="shared" si="5"/>
        <v>389.13</v>
      </c>
      <c r="Q11" s="62" t="str">
        <f t="shared" si="6"/>
        <v>m²</v>
      </c>
      <c r="R11" s="61">
        <f t="shared" ref="R11:R20" si="7">R10</f>
        <v>6377.23</v>
      </c>
      <c r="S11" s="61">
        <f t="shared" si="3"/>
        <v>610.1865543504</v>
      </c>
      <c r="T11" s="96" t="s">
        <v>24</v>
      </c>
    </row>
    <row r="12" s="41" customFormat="1" ht="23" customHeight="1" outlineLevel="2" spans="1:20">
      <c r="A12" s="59">
        <v>4</v>
      </c>
      <c r="B12" s="60" t="s">
        <v>25</v>
      </c>
      <c r="C12" s="61">
        <v>631.7</v>
      </c>
      <c r="D12" s="61"/>
      <c r="E12" s="61"/>
      <c r="F12" s="61"/>
      <c r="G12" s="61">
        <f t="shared" si="4"/>
        <v>631.7</v>
      </c>
      <c r="H12" s="62" t="s">
        <v>18</v>
      </c>
      <c r="I12" s="61">
        <v>6317</v>
      </c>
      <c r="J12" s="86">
        <f t="shared" si="1"/>
        <v>1000</v>
      </c>
      <c r="K12" s="61"/>
      <c r="L12" s="61">
        <v>807.025</v>
      </c>
      <c r="M12" s="61"/>
      <c r="N12" s="61"/>
      <c r="O12" s="61"/>
      <c r="P12" s="61">
        <f t="shared" si="5"/>
        <v>807.025</v>
      </c>
      <c r="Q12" s="62" t="str">
        <f t="shared" si="6"/>
        <v>m²</v>
      </c>
      <c r="R12" s="61">
        <f t="shared" si="7"/>
        <v>6377.23</v>
      </c>
      <c r="S12" s="61">
        <f t="shared" si="3"/>
        <v>1265.47889914587</v>
      </c>
      <c r="T12" s="96"/>
    </row>
    <row r="13" s="41" customFormat="1" ht="23" customHeight="1" outlineLevel="2" spans="1:20">
      <c r="A13" s="59">
        <v>5</v>
      </c>
      <c r="B13" s="60" t="s">
        <v>26</v>
      </c>
      <c r="C13" s="61"/>
      <c r="D13" s="61">
        <v>7.9</v>
      </c>
      <c r="E13" s="61">
        <v>150.03</v>
      </c>
      <c r="F13" s="61"/>
      <c r="G13" s="61">
        <f t="shared" si="4"/>
        <v>157.93</v>
      </c>
      <c r="H13" s="62" t="s">
        <v>18</v>
      </c>
      <c r="I13" s="61">
        <v>6317</v>
      </c>
      <c r="J13" s="86">
        <f t="shared" si="1"/>
        <v>250.007915149596</v>
      </c>
      <c r="K13" s="61"/>
      <c r="L13" s="61"/>
      <c r="M13" s="61"/>
      <c r="N13" s="61">
        <v>174.9403</v>
      </c>
      <c r="O13" s="61"/>
      <c r="P13" s="61">
        <f t="shared" si="5"/>
        <v>174.9403</v>
      </c>
      <c r="Q13" s="62" t="str">
        <f t="shared" si="6"/>
        <v>m²</v>
      </c>
      <c r="R13" s="61">
        <f t="shared" si="7"/>
        <v>6377.23</v>
      </c>
      <c r="S13" s="61">
        <f t="shared" si="3"/>
        <v>274.320198581516</v>
      </c>
      <c r="T13" s="96"/>
    </row>
    <row r="14" s="41" customFormat="1" ht="23" customHeight="1" outlineLevel="2" spans="1:20">
      <c r="A14" s="59">
        <v>6</v>
      </c>
      <c r="B14" s="60" t="s">
        <v>27</v>
      </c>
      <c r="C14" s="61"/>
      <c r="D14" s="61">
        <v>39.8</v>
      </c>
      <c r="E14" s="61">
        <v>73.91</v>
      </c>
      <c r="F14" s="61"/>
      <c r="G14" s="61">
        <f t="shared" si="4"/>
        <v>113.71</v>
      </c>
      <c r="H14" s="62" t="s">
        <v>18</v>
      </c>
      <c r="I14" s="61">
        <v>6317</v>
      </c>
      <c r="J14" s="86">
        <f t="shared" si="1"/>
        <v>180.006332119677</v>
      </c>
      <c r="K14" s="61"/>
      <c r="L14" s="61"/>
      <c r="M14" s="61">
        <v>7.2262</v>
      </c>
      <c r="N14" s="61">
        <v>105.4217</v>
      </c>
      <c r="O14" s="61"/>
      <c r="P14" s="61">
        <f t="shared" si="5"/>
        <v>112.6479</v>
      </c>
      <c r="Q14" s="62" t="str">
        <f t="shared" si="6"/>
        <v>m²</v>
      </c>
      <c r="R14" s="61">
        <f t="shared" si="7"/>
        <v>6377.23</v>
      </c>
      <c r="S14" s="61">
        <f t="shared" si="3"/>
        <v>176.640798591238</v>
      </c>
      <c r="T14" s="96"/>
    </row>
    <row r="15" s="41" customFormat="1" ht="23" customHeight="1" outlineLevel="2" spans="1:20">
      <c r="A15" s="59">
        <v>7</v>
      </c>
      <c r="B15" s="60" t="s">
        <v>28</v>
      </c>
      <c r="C15" s="61"/>
      <c r="D15" s="61">
        <v>0</v>
      </c>
      <c r="E15" s="61">
        <v>113.71</v>
      </c>
      <c r="F15" s="61"/>
      <c r="G15" s="61">
        <f t="shared" si="4"/>
        <v>113.71</v>
      </c>
      <c r="H15" s="62" t="s">
        <v>18</v>
      </c>
      <c r="I15" s="61">
        <v>6317</v>
      </c>
      <c r="J15" s="86">
        <f t="shared" si="1"/>
        <v>180.006332119677</v>
      </c>
      <c r="K15" s="61"/>
      <c r="L15" s="61"/>
      <c r="M15" s="61"/>
      <c r="N15" s="61">
        <v>105.8956</v>
      </c>
      <c r="O15" s="61"/>
      <c r="P15" s="61">
        <f t="shared" si="5"/>
        <v>105.8956</v>
      </c>
      <c r="Q15" s="62" t="str">
        <f t="shared" si="6"/>
        <v>m²</v>
      </c>
      <c r="R15" s="61">
        <f t="shared" si="7"/>
        <v>6377.23</v>
      </c>
      <c r="S15" s="61">
        <f t="shared" si="3"/>
        <v>166.052659226655</v>
      </c>
      <c r="T15" s="96"/>
    </row>
    <row r="16" s="41" customFormat="1" ht="23" customHeight="1" outlineLevel="2" spans="1:20">
      <c r="A16" s="59">
        <v>8</v>
      </c>
      <c r="B16" s="60" t="s">
        <v>29</v>
      </c>
      <c r="C16" s="61"/>
      <c r="D16" s="61">
        <v>11.37</v>
      </c>
      <c r="E16" s="61">
        <v>45.48</v>
      </c>
      <c r="F16" s="61"/>
      <c r="G16" s="61">
        <f t="shared" si="4"/>
        <v>56.85</v>
      </c>
      <c r="H16" s="62" t="s">
        <v>18</v>
      </c>
      <c r="I16" s="61">
        <v>6317</v>
      </c>
      <c r="J16" s="86">
        <f t="shared" si="1"/>
        <v>89.9952509102422</v>
      </c>
      <c r="K16" s="61"/>
      <c r="L16" s="61"/>
      <c r="M16" s="61">
        <v>6.7056</v>
      </c>
      <c r="N16" s="61">
        <v>64.7716</v>
      </c>
      <c r="O16" s="61"/>
      <c r="P16" s="61">
        <f t="shared" si="5"/>
        <v>71.4772</v>
      </c>
      <c r="Q16" s="62" t="str">
        <f t="shared" si="6"/>
        <v>m²</v>
      </c>
      <c r="R16" s="61">
        <f t="shared" si="7"/>
        <v>6377.23</v>
      </c>
      <c r="S16" s="61">
        <f t="shared" si="3"/>
        <v>112.081891354083</v>
      </c>
      <c r="T16" s="96"/>
    </row>
    <row r="17" s="41" customFormat="1" ht="23" customHeight="1" outlineLevel="2" spans="1:20">
      <c r="A17" s="59">
        <v>9</v>
      </c>
      <c r="B17" s="60" t="s">
        <v>30</v>
      </c>
      <c r="C17" s="61"/>
      <c r="D17" s="61">
        <v>151.61</v>
      </c>
      <c r="E17" s="61">
        <v>37.9</v>
      </c>
      <c r="F17" s="61"/>
      <c r="G17" s="61">
        <f t="shared" si="4"/>
        <v>189.51</v>
      </c>
      <c r="H17" s="62" t="s">
        <v>18</v>
      </c>
      <c r="I17" s="61">
        <v>6317</v>
      </c>
      <c r="J17" s="86">
        <f t="shared" si="1"/>
        <v>300</v>
      </c>
      <c r="K17" s="61"/>
      <c r="L17" s="61"/>
      <c r="M17" s="61">
        <v>32.3012</v>
      </c>
      <c r="N17" s="61">
        <v>85.3907</v>
      </c>
      <c r="O17" s="61"/>
      <c r="P17" s="61">
        <f t="shared" si="5"/>
        <v>117.6919</v>
      </c>
      <c r="Q17" s="62" t="str">
        <f t="shared" si="6"/>
        <v>m²</v>
      </c>
      <c r="R17" s="61">
        <f t="shared" si="7"/>
        <v>6377.23</v>
      </c>
      <c r="S17" s="61">
        <f t="shared" si="3"/>
        <v>184.550188718299</v>
      </c>
      <c r="T17" s="96"/>
    </row>
    <row r="18" s="41" customFormat="1" ht="23" customHeight="1" outlineLevel="2" spans="1:20">
      <c r="A18" s="59">
        <v>10</v>
      </c>
      <c r="B18" s="60" t="s">
        <v>31</v>
      </c>
      <c r="C18" s="61"/>
      <c r="D18" s="61">
        <v>126.02</v>
      </c>
      <c r="E18" s="61">
        <v>95.07</v>
      </c>
      <c r="F18" s="61"/>
      <c r="G18" s="61">
        <f t="shared" si="4"/>
        <v>221.09</v>
      </c>
      <c r="H18" s="62" t="s">
        <v>18</v>
      </c>
      <c r="I18" s="61">
        <v>6317</v>
      </c>
      <c r="J18" s="86">
        <f t="shared" si="1"/>
        <v>349.992084850404</v>
      </c>
      <c r="K18" s="61"/>
      <c r="L18" s="61"/>
      <c r="M18" s="61">
        <v>115.498</v>
      </c>
      <c r="N18" s="61">
        <v>104.0805</v>
      </c>
      <c r="O18" s="61"/>
      <c r="P18" s="61">
        <f t="shared" si="5"/>
        <v>219.5785</v>
      </c>
      <c r="Q18" s="62" t="str">
        <f t="shared" si="6"/>
        <v>m²</v>
      </c>
      <c r="R18" s="61">
        <f t="shared" si="7"/>
        <v>6377.23</v>
      </c>
      <c r="S18" s="61">
        <f t="shared" si="3"/>
        <v>344.316419511293</v>
      </c>
      <c r="T18" s="96"/>
    </row>
    <row r="19" s="41" customFormat="1" ht="23" customHeight="1" outlineLevel="2" spans="1:20">
      <c r="A19" s="59">
        <v>11</v>
      </c>
      <c r="B19" s="60" t="s">
        <v>32</v>
      </c>
      <c r="C19" s="61"/>
      <c r="D19" s="61"/>
      <c r="E19" s="61">
        <v>15.79</v>
      </c>
      <c r="F19" s="61"/>
      <c r="G19" s="61">
        <f t="shared" si="4"/>
        <v>15.79</v>
      </c>
      <c r="H19" s="62" t="s">
        <v>18</v>
      </c>
      <c r="I19" s="61">
        <v>6317</v>
      </c>
      <c r="J19" s="86">
        <f t="shared" si="1"/>
        <v>24.9960424252018</v>
      </c>
      <c r="K19" s="61"/>
      <c r="L19" s="61"/>
      <c r="M19" s="61"/>
      <c r="N19" s="61">
        <v>13.787</v>
      </c>
      <c r="O19" s="61"/>
      <c r="P19" s="61">
        <f t="shared" si="5"/>
        <v>13.787</v>
      </c>
      <c r="Q19" s="62" t="str">
        <f t="shared" si="6"/>
        <v>m²</v>
      </c>
      <c r="R19" s="61">
        <f t="shared" si="7"/>
        <v>6377.23</v>
      </c>
      <c r="S19" s="61">
        <f t="shared" si="3"/>
        <v>21.61910421923</v>
      </c>
      <c r="T19" s="96"/>
    </row>
    <row r="20" ht="23" customHeight="1" outlineLevel="2" spans="1:20">
      <c r="A20" s="63"/>
      <c r="B20" s="64" t="s">
        <v>33</v>
      </c>
      <c r="C20" s="65">
        <f t="shared" ref="C20:G20" si="8">SUM(C10:C19)</f>
        <v>1895.1</v>
      </c>
      <c r="D20" s="65">
        <f t="shared" si="8"/>
        <v>336.7</v>
      </c>
      <c r="E20" s="65">
        <f t="shared" si="8"/>
        <v>531.89</v>
      </c>
      <c r="F20" s="66"/>
      <c r="G20" s="65">
        <f t="shared" si="8"/>
        <v>2763.69</v>
      </c>
      <c r="H20" s="65" t="s">
        <v>18</v>
      </c>
      <c r="I20" s="65">
        <v>6317</v>
      </c>
      <c r="J20" s="87">
        <f t="shared" si="1"/>
        <v>4375.0039575748</v>
      </c>
      <c r="K20" s="66"/>
      <c r="L20" s="65">
        <f t="shared" ref="L20:P20" si="9">SUM(L9:L19)</f>
        <v>2241.401</v>
      </c>
      <c r="M20" s="65">
        <f t="shared" si="9"/>
        <v>161.731</v>
      </c>
      <c r="N20" s="65">
        <f t="shared" si="9"/>
        <v>654.2874</v>
      </c>
      <c r="O20" s="65">
        <f t="shared" si="9"/>
        <v>0</v>
      </c>
      <c r="P20" s="65">
        <f t="shared" si="9"/>
        <v>3057.4194</v>
      </c>
      <c r="Q20" s="97" t="str">
        <f t="shared" si="6"/>
        <v>m²</v>
      </c>
      <c r="R20" s="66">
        <f t="shared" si="7"/>
        <v>6377.23</v>
      </c>
      <c r="S20" s="65">
        <f t="shared" si="3"/>
        <v>4794.27494382357</v>
      </c>
      <c r="T20" s="98"/>
    </row>
    <row r="21" ht="23" customHeight="1" outlineLevel="1" spans="1:20">
      <c r="A21" s="55" t="s">
        <v>34</v>
      </c>
      <c r="B21" s="56" t="s">
        <v>35</v>
      </c>
      <c r="C21" s="58"/>
      <c r="D21" s="58"/>
      <c r="E21" s="58"/>
      <c r="F21" s="58"/>
      <c r="G21" s="58"/>
      <c r="H21" s="58"/>
      <c r="I21" s="58"/>
      <c r="J21" s="85"/>
      <c r="K21" s="58"/>
      <c r="L21" s="58"/>
      <c r="M21" s="58"/>
      <c r="N21" s="58"/>
      <c r="O21" s="58"/>
      <c r="P21" s="58"/>
      <c r="Q21" s="58"/>
      <c r="R21" s="58"/>
      <c r="S21" s="58"/>
      <c r="T21" s="95"/>
    </row>
    <row r="22" s="41" customFormat="1" ht="23" customHeight="1" outlineLevel="2" spans="1:20">
      <c r="A22" s="59">
        <v>1</v>
      </c>
      <c r="B22" s="60" t="s">
        <v>21</v>
      </c>
      <c r="C22" s="61">
        <v>166.2</v>
      </c>
      <c r="D22" s="61"/>
      <c r="E22" s="61"/>
      <c r="F22" s="61"/>
      <c r="G22" s="61">
        <f t="shared" ref="G22:G31" si="10">SUM(C22:F22)</f>
        <v>166.2</v>
      </c>
      <c r="H22" s="62" t="s">
        <v>18</v>
      </c>
      <c r="I22" s="61">
        <v>6648</v>
      </c>
      <c r="J22" s="86">
        <f t="shared" ref="J22:J32" si="11">+G22/I22*10000</f>
        <v>250</v>
      </c>
      <c r="K22" s="61"/>
      <c r="L22" s="61">
        <v>12.643</v>
      </c>
      <c r="M22" s="61"/>
      <c r="N22" s="61"/>
      <c r="O22" s="61"/>
      <c r="P22" s="61">
        <f t="shared" ref="P22:P31" si="12">SUM(L22:O22)</f>
        <v>12.643</v>
      </c>
      <c r="Q22" s="62" t="str">
        <f t="shared" ref="Q22:Q32" si="13">H22</f>
        <v>m²</v>
      </c>
      <c r="R22" s="61">
        <v>329.94</v>
      </c>
      <c r="S22" s="61">
        <f t="shared" ref="S22:S32" si="14">+P22/R22*10000</f>
        <v>383.190883190883</v>
      </c>
      <c r="T22" s="99"/>
    </row>
    <row r="23" s="41" customFormat="1" ht="23" customHeight="1" outlineLevel="2" spans="1:20">
      <c r="A23" s="59">
        <v>2</v>
      </c>
      <c r="B23" s="60" t="s">
        <v>36</v>
      </c>
      <c r="C23" s="61">
        <v>0</v>
      </c>
      <c r="D23" s="61"/>
      <c r="E23" s="61"/>
      <c r="F23" s="61"/>
      <c r="G23" s="61"/>
      <c r="H23" s="62"/>
      <c r="I23" s="61"/>
      <c r="J23" s="86"/>
      <c r="K23" s="61"/>
      <c r="L23" s="61">
        <f>563583/10000</f>
        <v>56.3583</v>
      </c>
      <c r="M23" s="61"/>
      <c r="N23" s="61"/>
      <c r="O23" s="61"/>
      <c r="P23" s="61">
        <f t="shared" si="12"/>
        <v>56.3583</v>
      </c>
      <c r="Q23" s="62" t="s">
        <v>18</v>
      </c>
      <c r="R23" s="62">
        <v>6738.86</v>
      </c>
      <c r="S23" s="61">
        <f t="shared" si="14"/>
        <v>83.6318012245395</v>
      </c>
      <c r="T23" s="99"/>
    </row>
    <row r="24" s="41" customFormat="1" ht="23" customHeight="1" outlineLevel="2" spans="1:20">
      <c r="A24" s="59">
        <v>3</v>
      </c>
      <c r="B24" s="60" t="s">
        <v>37</v>
      </c>
      <c r="C24" s="61">
        <v>398.88</v>
      </c>
      <c r="D24" s="61"/>
      <c r="E24" s="61"/>
      <c r="F24" s="61"/>
      <c r="G24" s="61">
        <f t="shared" si="10"/>
        <v>398.88</v>
      </c>
      <c r="H24" s="61" t="s">
        <v>38</v>
      </c>
      <c r="I24" s="61">
        <v>997.2</v>
      </c>
      <c r="J24" s="86">
        <f t="shared" si="11"/>
        <v>4000</v>
      </c>
      <c r="K24" s="61"/>
      <c r="L24" s="61">
        <f>158552/10000</f>
        <v>15.8552</v>
      </c>
      <c r="M24" s="61"/>
      <c r="N24" s="61"/>
      <c r="O24" s="61"/>
      <c r="P24" s="61">
        <f t="shared" si="12"/>
        <v>15.8552</v>
      </c>
      <c r="Q24" s="62" t="str">
        <f t="shared" si="13"/>
        <v>m</v>
      </c>
      <c r="R24" s="61">
        <f>73.9+1*2*4</f>
        <v>81.9</v>
      </c>
      <c r="S24" s="61">
        <f t="shared" si="14"/>
        <v>1935.92185592186</v>
      </c>
      <c r="T24" s="96"/>
    </row>
    <row r="25" s="41" customFormat="1" ht="23" customHeight="1" outlineLevel="2" spans="1:20">
      <c r="A25" s="59">
        <v>4</v>
      </c>
      <c r="B25" s="60" t="s">
        <v>39</v>
      </c>
      <c r="C25" s="61">
        <v>17.87</v>
      </c>
      <c r="D25" s="61"/>
      <c r="E25" s="61"/>
      <c r="F25" s="61"/>
      <c r="G25" s="61">
        <f t="shared" si="10"/>
        <v>17.87</v>
      </c>
      <c r="H25" s="62" t="s">
        <v>40</v>
      </c>
      <c r="I25" s="61">
        <v>1489.5</v>
      </c>
      <c r="J25" s="86">
        <f t="shared" si="11"/>
        <v>119.973145350789</v>
      </c>
      <c r="K25" s="61"/>
      <c r="L25" s="61">
        <f>102092/10000</f>
        <v>10.2092</v>
      </c>
      <c r="M25" s="61"/>
      <c r="N25" s="61"/>
      <c r="O25" s="61"/>
      <c r="P25" s="61">
        <f t="shared" si="12"/>
        <v>10.2092</v>
      </c>
      <c r="Q25" s="62" t="str">
        <f t="shared" si="13"/>
        <v>m³</v>
      </c>
      <c r="R25" s="61">
        <v>3188.112</v>
      </c>
      <c r="S25" s="61">
        <f t="shared" si="14"/>
        <v>32.0227143839363</v>
      </c>
      <c r="T25" s="96"/>
    </row>
    <row r="26" s="41" customFormat="1" ht="23" customHeight="1" outlineLevel="2" spans="1:20">
      <c r="A26" s="59">
        <v>5</v>
      </c>
      <c r="B26" s="60" t="s">
        <v>22</v>
      </c>
      <c r="C26" s="61">
        <v>66.2</v>
      </c>
      <c r="D26" s="61"/>
      <c r="E26" s="61"/>
      <c r="F26" s="61"/>
      <c r="G26" s="61">
        <f t="shared" si="10"/>
        <v>66.2</v>
      </c>
      <c r="H26" s="62" t="s">
        <v>18</v>
      </c>
      <c r="I26" s="61">
        <v>331</v>
      </c>
      <c r="J26" s="86">
        <f t="shared" si="11"/>
        <v>2000</v>
      </c>
      <c r="K26" s="61"/>
      <c r="L26" s="61">
        <v>102.593</v>
      </c>
      <c r="M26" s="61"/>
      <c r="N26" s="61"/>
      <c r="O26" s="61"/>
      <c r="P26" s="61">
        <f t="shared" si="12"/>
        <v>102.593</v>
      </c>
      <c r="Q26" s="62" t="str">
        <f t="shared" si="13"/>
        <v>m²</v>
      </c>
      <c r="R26" s="61">
        <v>329.94</v>
      </c>
      <c r="S26" s="61">
        <f t="shared" si="14"/>
        <v>3109.44414135904</v>
      </c>
      <c r="T26" s="96"/>
    </row>
    <row r="27" s="41" customFormat="1" ht="23" customHeight="1" outlineLevel="2" spans="1:20">
      <c r="A27" s="59">
        <v>6</v>
      </c>
      <c r="B27" s="60" t="s">
        <v>41</v>
      </c>
      <c r="C27" s="61">
        <v>9.93</v>
      </c>
      <c r="D27" s="61"/>
      <c r="E27" s="61"/>
      <c r="F27" s="61"/>
      <c r="G27" s="61">
        <f t="shared" si="10"/>
        <v>9.93</v>
      </c>
      <c r="H27" s="62" t="s">
        <v>18</v>
      </c>
      <c r="I27" s="61">
        <v>331</v>
      </c>
      <c r="J27" s="86">
        <f t="shared" si="11"/>
        <v>300</v>
      </c>
      <c r="K27" s="61"/>
      <c r="L27" s="61">
        <f>139717/10000</f>
        <v>13.9717</v>
      </c>
      <c r="M27" s="61"/>
      <c r="N27" s="61"/>
      <c r="O27" s="61"/>
      <c r="P27" s="61">
        <f t="shared" si="12"/>
        <v>13.9717</v>
      </c>
      <c r="Q27" s="62" t="str">
        <f t="shared" si="13"/>
        <v>m²</v>
      </c>
      <c r="R27" s="61">
        <v>329.94</v>
      </c>
      <c r="S27" s="61">
        <f t="shared" si="14"/>
        <v>423.461841546948</v>
      </c>
      <c r="T27" s="96"/>
    </row>
    <row r="28" s="41" customFormat="1" ht="23" customHeight="1" outlineLevel="2" spans="1:20">
      <c r="A28" s="59">
        <v>7</v>
      </c>
      <c r="B28" s="60" t="s">
        <v>26</v>
      </c>
      <c r="C28" s="61"/>
      <c r="D28" s="61">
        <v>0.66</v>
      </c>
      <c r="E28" s="61">
        <v>5.96</v>
      </c>
      <c r="F28" s="61"/>
      <c r="G28" s="61">
        <f t="shared" si="10"/>
        <v>6.62</v>
      </c>
      <c r="H28" s="62" t="s">
        <v>18</v>
      </c>
      <c r="I28" s="61">
        <v>331</v>
      </c>
      <c r="J28" s="86">
        <f t="shared" si="11"/>
        <v>200</v>
      </c>
      <c r="K28" s="61"/>
      <c r="L28" s="61"/>
      <c r="M28" s="61">
        <v>0.863</v>
      </c>
      <c r="N28" s="61">
        <v>25.8595</v>
      </c>
      <c r="O28" s="61"/>
      <c r="P28" s="61">
        <f t="shared" si="12"/>
        <v>26.7225</v>
      </c>
      <c r="Q28" s="62" t="str">
        <f t="shared" si="13"/>
        <v>m²</v>
      </c>
      <c r="R28" s="61">
        <v>329.94</v>
      </c>
      <c r="S28" s="61">
        <f t="shared" si="14"/>
        <v>809.9199854519</v>
      </c>
      <c r="T28" s="96"/>
    </row>
    <row r="29" s="41" customFormat="1" ht="23" customHeight="1" outlineLevel="2" spans="1:20">
      <c r="A29" s="59">
        <v>8</v>
      </c>
      <c r="B29" s="60" t="s">
        <v>42</v>
      </c>
      <c r="C29" s="61"/>
      <c r="D29" s="61">
        <v>4.3</v>
      </c>
      <c r="E29" s="61">
        <v>2.32</v>
      </c>
      <c r="F29" s="61"/>
      <c r="G29" s="61">
        <f t="shared" si="10"/>
        <v>6.62</v>
      </c>
      <c r="H29" s="62" t="s">
        <v>18</v>
      </c>
      <c r="I29" s="61">
        <v>331</v>
      </c>
      <c r="J29" s="86">
        <f t="shared" si="11"/>
        <v>200</v>
      </c>
      <c r="K29" s="61"/>
      <c r="L29" s="61"/>
      <c r="M29" s="61">
        <f>(9994+164532)/10000</f>
        <v>17.4526</v>
      </c>
      <c r="N29" s="61">
        <f>476161/10000-M29</f>
        <v>30.1635</v>
      </c>
      <c r="O29" s="61"/>
      <c r="P29" s="61">
        <f t="shared" si="12"/>
        <v>47.6161</v>
      </c>
      <c r="Q29" s="62" t="str">
        <f t="shared" si="13"/>
        <v>m²</v>
      </c>
      <c r="R29" s="61">
        <v>329.94</v>
      </c>
      <c r="S29" s="61">
        <f t="shared" si="14"/>
        <v>1443.17451657877</v>
      </c>
      <c r="T29" s="96"/>
    </row>
    <row r="30" s="41" customFormat="1" ht="23" customHeight="1" outlineLevel="2" spans="1:20">
      <c r="A30" s="59">
        <v>9</v>
      </c>
      <c r="B30" s="60" t="s">
        <v>43</v>
      </c>
      <c r="C30" s="61"/>
      <c r="D30" s="61">
        <v>0.28</v>
      </c>
      <c r="E30" s="61">
        <v>1.37</v>
      </c>
      <c r="F30" s="61"/>
      <c r="G30" s="61">
        <f t="shared" si="10"/>
        <v>1.65</v>
      </c>
      <c r="H30" s="62" t="s">
        <v>18</v>
      </c>
      <c r="I30" s="61">
        <v>331</v>
      </c>
      <c r="J30" s="86">
        <f t="shared" si="11"/>
        <v>49.8489425981873</v>
      </c>
      <c r="K30" s="61"/>
      <c r="L30" s="61"/>
      <c r="M30" s="61">
        <v>0.44</v>
      </c>
      <c r="N30" s="61">
        <v>2.4887</v>
      </c>
      <c r="O30" s="61"/>
      <c r="P30" s="61">
        <f t="shared" si="12"/>
        <v>2.9287</v>
      </c>
      <c r="Q30" s="62" t="str">
        <f t="shared" si="13"/>
        <v>m²</v>
      </c>
      <c r="R30" s="61">
        <v>329.94</v>
      </c>
      <c r="S30" s="61">
        <f t="shared" si="14"/>
        <v>88.7646238710068</v>
      </c>
      <c r="T30" s="96"/>
    </row>
    <row r="31" s="41" customFormat="1" ht="23" customHeight="1" outlineLevel="2" spans="1:20">
      <c r="A31" s="59">
        <v>10</v>
      </c>
      <c r="B31" s="60" t="s">
        <v>32</v>
      </c>
      <c r="C31" s="61"/>
      <c r="D31" s="61"/>
      <c r="E31" s="61">
        <v>0.83</v>
      </c>
      <c r="F31" s="61"/>
      <c r="G31" s="61">
        <f t="shared" si="10"/>
        <v>0.83</v>
      </c>
      <c r="H31" s="62" t="s">
        <v>18</v>
      </c>
      <c r="I31" s="61">
        <v>331</v>
      </c>
      <c r="J31" s="86">
        <f t="shared" si="11"/>
        <v>25.0755287009063</v>
      </c>
      <c r="K31" s="61"/>
      <c r="L31" s="61"/>
      <c r="M31" s="61"/>
      <c r="N31" s="61">
        <v>1.4194</v>
      </c>
      <c r="O31" s="61"/>
      <c r="P31" s="61">
        <f t="shared" si="12"/>
        <v>1.4194</v>
      </c>
      <c r="Q31" s="62" t="str">
        <f t="shared" si="13"/>
        <v>m²</v>
      </c>
      <c r="R31" s="61">
        <v>329.94</v>
      </c>
      <c r="S31" s="61">
        <f t="shared" si="14"/>
        <v>43.019943019943</v>
      </c>
      <c r="T31" s="96"/>
    </row>
    <row r="32" ht="23" customHeight="1" outlineLevel="2" spans="1:20">
      <c r="A32" s="67"/>
      <c r="B32" s="64" t="s">
        <v>44</v>
      </c>
      <c r="C32" s="65">
        <f t="shared" ref="C32:G32" si="15">SUM(C22:C31)</f>
        <v>659.08</v>
      </c>
      <c r="D32" s="65">
        <f t="shared" si="15"/>
        <v>5.24</v>
      </c>
      <c r="E32" s="65">
        <f t="shared" si="15"/>
        <v>10.48</v>
      </c>
      <c r="F32" s="65"/>
      <c r="G32" s="65">
        <f t="shared" si="15"/>
        <v>674.8</v>
      </c>
      <c r="H32" s="65" t="s">
        <v>18</v>
      </c>
      <c r="I32" s="65">
        <v>331</v>
      </c>
      <c r="J32" s="87">
        <f t="shared" si="11"/>
        <v>20386.7069486405</v>
      </c>
      <c r="K32" s="66"/>
      <c r="L32" s="65">
        <f t="shared" ref="L32:N32" si="16">SUM(L22:L31)</f>
        <v>211.6304</v>
      </c>
      <c r="M32" s="65">
        <f t="shared" si="16"/>
        <v>18.7556</v>
      </c>
      <c r="N32" s="65">
        <f t="shared" si="16"/>
        <v>59.9311</v>
      </c>
      <c r="O32" s="65"/>
      <c r="P32" s="65">
        <f>SUM(P22:P31)</f>
        <v>290.3171</v>
      </c>
      <c r="Q32" s="97" t="str">
        <f t="shared" si="13"/>
        <v>m²</v>
      </c>
      <c r="R32" s="66">
        <v>329.94</v>
      </c>
      <c r="S32" s="65">
        <f t="shared" si="14"/>
        <v>8799.0877129175</v>
      </c>
      <c r="T32" s="98"/>
    </row>
    <row r="33" ht="23" customHeight="1" outlineLevel="1" spans="1:20">
      <c r="A33" s="55" t="s">
        <v>45</v>
      </c>
      <c r="B33" s="56" t="s">
        <v>46</v>
      </c>
      <c r="C33" s="58"/>
      <c r="D33" s="58"/>
      <c r="E33" s="58"/>
      <c r="F33" s="58"/>
      <c r="G33" s="58"/>
      <c r="H33" s="58"/>
      <c r="I33" s="58"/>
      <c r="J33" s="85"/>
      <c r="K33" s="58"/>
      <c r="L33" s="58"/>
      <c r="M33" s="58"/>
      <c r="N33" s="58"/>
      <c r="O33" s="58"/>
      <c r="P33" s="58"/>
      <c r="Q33" s="58"/>
      <c r="R33" s="58"/>
      <c r="S33" s="58"/>
      <c r="T33" s="95"/>
    </row>
    <row r="34" s="41" customFormat="1" ht="23" customHeight="1" outlineLevel="2" spans="1:20">
      <c r="A34" s="59">
        <v>1</v>
      </c>
      <c r="B34" s="60" t="s">
        <v>47</v>
      </c>
      <c r="C34" s="61"/>
      <c r="D34" s="61">
        <v>226.8</v>
      </c>
      <c r="E34" s="61"/>
      <c r="F34" s="61"/>
      <c r="G34" s="61">
        <f t="shared" ref="G34:G42" si="17">SUM(C34:F34)</f>
        <v>226.8</v>
      </c>
      <c r="H34" s="61" t="s">
        <v>48</v>
      </c>
      <c r="I34" s="61">
        <v>1260</v>
      </c>
      <c r="J34" s="86">
        <f t="shared" ref="J34:J42" si="18">+G34/I34*10000</f>
        <v>1800</v>
      </c>
      <c r="K34" s="61"/>
      <c r="L34" s="61"/>
      <c r="M34" s="61">
        <v>145.0334</v>
      </c>
      <c r="N34" s="61">
        <v>40.7172</v>
      </c>
      <c r="O34" s="61"/>
      <c r="P34" s="61">
        <f t="shared" ref="P34:P42" si="19">SUM(L34:O34)</f>
        <v>185.7506</v>
      </c>
      <c r="Q34" s="62" t="str">
        <f t="shared" ref="Q34:Q43" si="20">H34</f>
        <v>kVA</v>
      </c>
      <c r="R34" s="61">
        <f t="shared" ref="R34:R39" si="21">I34</f>
        <v>1260</v>
      </c>
      <c r="S34" s="61">
        <f t="shared" ref="S34:S42" si="22">+P34/R34*10000</f>
        <v>1474.21111111111</v>
      </c>
      <c r="T34" s="96"/>
    </row>
    <row r="35" s="41" customFormat="1" ht="23" customHeight="1" outlineLevel="2" spans="1:20">
      <c r="A35" s="59">
        <v>2</v>
      </c>
      <c r="B35" s="60" t="s">
        <v>49</v>
      </c>
      <c r="C35" s="61"/>
      <c r="D35" s="61">
        <v>39</v>
      </c>
      <c r="E35" s="61"/>
      <c r="F35" s="61"/>
      <c r="G35" s="61">
        <f t="shared" si="17"/>
        <v>39</v>
      </c>
      <c r="H35" s="61" t="s">
        <v>48</v>
      </c>
      <c r="I35" s="61">
        <v>260</v>
      </c>
      <c r="J35" s="86">
        <f t="shared" si="18"/>
        <v>1500</v>
      </c>
      <c r="K35" s="61"/>
      <c r="L35" s="61"/>
      <c r="M35" s="61">
        <v>33.6888</v>
      </c>
      <c r="N35" s="61">
        <v>4.5241</v>
      </c>
      <c r="O35" s="61"/>
      <c r="P35" s="61">
        <f t="shared" si="19"/>
        <v>38.2129</v>
      </c>
      <c r="Q35" s="62" t="str">
        <f t="shared" si="20"/>
        <v>kVA</v>
      </c>
      <c r="R35" s="61">
        <f t="shared" si="21"/>
        <v>260</v>
      </c>
      <c r="S35" s="61">
        <f t="shared" si="22"/>
        <v>1469.72692307692</v>
      </c>
      <c r="T35" s="96"/>
    </row>
    <row r="36" s="41" customFormat="1" ht="23" customHeight="1" outlineLevel="2" spans="1:20">
      <c r="A36" s="59">
        <v>3</v>
      </c>
      <c r="B36" s="60" t="s">
        <v>50</v>
      </c>
      <c r="C36" s="61">
        <v>200</v>
      </c>
      <c r="D36" s="61"/>
      <c r="E36" s="61"/>
      <c r="F36" s="61"/>
      <c r="G36" s="61">
        <f t="shared" si="17"/>
        <v>200</v>
      </c>
      <c r="H36" s="61" t="s">
        <v>51</v>
      </c>
      <c r="I36" s="61">
        <v>1</v>
      </c>
      <c r="J36" s="86">
        <f t="shared" si="18"/>
        <v>2000000</v>
      </c>
      <c r="K36" s="61"/>
      <c r="L36" s="61"/>
      <c r="M36" s="61"/>
      <c r="N36" s="61">
        <v>200.8011</v>
      </c>
      <c r="O36" s="61"/>
      <c r="P36" s="61">
        <f t="shared" si="19"/>
        <v>200.8011</v>
      </c>
      <c r="Q36" s="62" t="str">
        <f t="shared" si="20"/>
        <v>项</v>
      </c>
      <c r="R36" s="61">
        <f t="shared" si="21"/>
        <v>1</v>
      </c>
      <c r="S36" s="61">
        <f t="shared" si="22"/>
        <v>2008011</v>
      </c>
      <c r="T36" s="96"/>
    </row>
    <row r="37" s="41" customFormat="1" ht="23" customHeight="1" outlineLevel="2" spans="1:20">
      <c r="A37" s="59">
        <v>4</v>
      </c>
      <c r="B37" s="60" t="s">
        <v>52</v>
      </c>
      <c r="C37" s="61"/>
      <c r="D37" s="61">
        <v>20</v>
      </c>
      <c r="E37" s="61"/>
      <c r="F37" s="61"/>
      <c r="G37" s="61">
        <f t="shared" si="17"/>
        <v>20</v>
      </c>
      <c r="H37" s="61" t="s">
        <v>53</v>
      </c>
      <c r="I37" s="61">
        <v>1</v>
      </c>
      <c r="J37" s="86">
        <f t="shared" si="18"/>
        <v>200000</v>
      </c>
      <c r="K37" s="61"/>
      <c r="L37" s="61"/>
      <c r="M37" s="61">
        <v>35.3486</v>
      </c>
      <c r="N37" s="61">
        <v>3.1814</v>
      </c>
      <c r="O37" s="61"/>
      <c r="P37" s="61">
        <f t="shared" si="19"/>
        <v>38.53</v>
      </c>
      <c r="Q37" s="62" t="str">
        <f t="shared" si="20"/>
        <v>部</v>
      </c>
      <c r="R37" s="61">
        <f t="shared" si="21"/>
        <v>1</v>
      </c>
      <c r="S37" s="61">
        <f t="shared" si="22"/>
        <v>385300</v>
      </c>
      <c r="T37" s="96"/>
    </row>
    <row r="38" s="41" customFormat="1" ht="23" customHeight="1" outlineLevel="2" spans="1:20">
      <c r="A38" s="59">
        <v>5</v>
      </c>
      <c r="B38" s="60" t="s">
        <v>54</v>
      </c>
      <c r="C38" s="61"/>
      <c r="D38" s="61">
        <v>12</v>
      </c>
      <c r="E38" s="61"/>
      <c r="F38" s="61"/>
      <c r="G38" s="61">
        <f t="shared" si="17"/>
        <v>12</v>
      </c>
      <c r="H38" s="61" t="s">
        <v>53</v>
      </c>
      <c r="I38" s="61">
        <v>1</v>
      </c>
      <c r="J38" s="86">
        <f t="shared" si="18"/>
        <v>120000</v>
      </c>
      <c r="K38" s="61"/>
      <c r="L38" s="61"/>
      <c r="M38" s="61">
        <v>23.5743</v>
      </c>
      <c r="N38" s="61">
        <v>2.1217</v>
      </c>
      <c r="O38" s="61"/>
      <c r="P38" s="61">
        <f t="shared" si="19"/>
        <v>25.696</v>
      </c>
      <c r="Q38" s="62" t="str">
        <f t="shared" si="20"/>
        <v>部</v>
      </c>
      <c r="R38" s="61">
        <f t="shared" si="21"/>
        <v>1</v>
      </c>
      <c r="S38" s="61">
        <f t="shared" si="22"/>
        <v>256960</v>
      </c>
      <c r="T38" s="96"/>
    </row>
    <row r="39" s="41" customFormat="1" ht="23" customHeight="1" outlineLevel="2" spans="1:20">
      <c r="A39" s="59">
        <v>6</v>
      </c>
      <c r="B39" s="60" t="s">
        <v>55</v>
      </c>
      <c r="C39" s="61"/>
      <c r="D39" s="61">
        <v>60</v>
      </c>
      <c r="E39" s="61"/>
      <c r="F39" s="61"/>
      <c r="G39" s="61">
        <f t="shared" si="17"/>
        <v>60</v>
      </c>
      <c r="H39" s="61" t="s">
        <v>51</v>
      </c>
      <c r="I39" s="61">
        <v>1</v>
      </c>
      <c r="J39" s="86">
        <f t="shared" si="18"/>
        <v>600000</v>
      </c>
      <c r="K39" s="61"/>
      <c r="L39" s="61"/>
      <c r="M39" s="61">
        <v>58</v>
      </c>
      <c r="N39" s="61">
        <v>5.785</v>
      </c>
      <c r="O39" s="61"/>
      <c r="P39" s="61">
        <f t="shared" si="19"/>
        <v>63.785</v>
      </c>
      <c r="Q39" s="62" t="str">
        <f t="shared" si="20"/>
        <v>项</v>
      </c>
      <c r="R39" s="61">
        <f t="shared" si="21"/>
        <v>1</v>
      </c>
      <c r="S39" s="61">
        <f t="shared" si="22"/>
        <v>637850</v>
      </c>
      <c r="T39" s="96"/>
    </row>
    <row r="40" s="41" customFormat="1" ht="23" customHeight="1" outlineLevel="2" spans="1:20">
      <c r="A40" s="59">
        <v>7</v>
      </c>
      <c r="B40" s="60" t="s">
        <v>56</v>
      </c>
      <c r="C40" s="61">
        <v>6.65</v>
      </c>
      <c r="D40" s="61"/>
      <c r="E40" s="61"/>
      <c r="F40" s="61"/>
      <c r="G40" s="61">
        <f t="shared" si="17"/>
        <v>6.65</v>
      </c>
      <c r="H40" s="61" t="s">
        <v>18</v>
      </c>
      <c r="I40" s="61">
        <v>6648</v>
      </c>
      <c r="J40" s="86">
        <f t="shared" si="18"/>
        <v>10.003008423586</v>
      </c>
      <c r="K40" s="61"/>
      <c r="L40" s="61">
        <f>66152/10000</f>
        <v>6.6152</v>
      </c>
      <c r="M40" s="61"/>
      <c r="N40" s="61"/>
      <c r="O40" s="61"/>
      <c r="P40" s="61">
        <f t="shared" si="19"/>
        <v>6.6152</v>
      </c>
      <c r="Q40" s="62" t="str">
        <f t="shared" si="20"/>
        <v>m²</v>
      </c>
      <c r="R40" s="61">
        <f>R23</f>
        <v>6738.86</v>
      </c>
      <c r="S40" s="61">
        <f t="shared" si="22"/>
        <v>9.81649715233734</v>
      </c>
      <c r="T40" s="96"/>
    </row>
    <row r="41" s="41" customFormat="1" ht="23" customHeight="1" outlineLevel="2" spans="1:20">
      <c r="A41" s="59">
        <v>8</v>
      </c>
      <c r="B41" s="60" t="s">
        <v>57</v>
      </c>
      <c r="C41" s="61"/>
      <c r="D41" s="61">
        <v>3.5</v>
      </c>
      <c r="E41" s="61"/>
      <c r="F41" s="61"/>
      <c r="G41" s="61">
        <f t="shared" si="17"/>
        <v>3.5</v>
      </c>
      <c r="H41" s="61" t="s">
        <v>58</v>
      </c>
      <c r="I41" s="61">
        <v>1</v>
      </c>
      <c r="J41" s="86">
        <f t="shared" si="18"/>
        <v>35000</v>
      </c>
      <c r="K41" s="61"/>
      <c r="L41" s="61"/>
      <c r="M41" s="61">
        <v>4.5872</v>
      </c>
      <c r="N41" s="61">
        <v>0.462899999999999</v>
      </c>
      <c r="O41" s="61"/>
      <c r="P41" s="61">
        <f t="shared" si="19"/>
        <v>5.0501</v>
      </c>
      <c r="Q41" s="62" t="str">
        <f t="shared" si="20"/>
        <v>个</v>
      </c>
      <c r="R41" s="61">
        <f t="shared" ref="R41:R43" si="23">I41</f>
        <v>1</v>
      </c>
      <c r="S41" s="61">
        <f t="shared" si="22"/>
        <v>50501</v>
      </c>
      <c r="T41" s="96"/>
    </row>
    <row r="42" s="41" customFormat="1" ht="23" customHeight="1" outlineLevel="2" spans="1:20">
      <c r="A42" s="59">
        <v>9</v>
      </c>
      <c r="B42" s="60" t="s">
        <v>59</v>
      </c>
      <c r="C42" s="61"/>
      <c r="D42" s="61">
        <v>6</v>
      </c>
      <c r="E42" s="61"/>
      <c r="F42" s="61"/>
      <c r="G42" s="61">
        <f t="shared" si="17"/>
        <v>6</v>
      </c>
      <c r="H42" s="61" t="s">
        <v>58</v>
      </c>
      <c r="I42" s="61">
        <v>4</v>
      </c>
      <c r="J42" s="86">
        <f t="shared" si="18"/>
        <v>15000</v>
      </c>
      <c r="K42" s="61"/>
      <c r="L42" s="61"/>
      <c r="M42" s="61">
        <v>4.4697</v>
      </c>
      <c r="N42" s="61">
        <v>0.6024</v>
      </c>
      <c r="O42" s="61"/>
      <c r="P42" s="61">
        <f t="shared" si="19"/>
        <v>5.0721</v>
      </c>
      <c r="Q42" s="62" t="str">
        <f t="shared" si="20"/>
        <v>个</v>
      </c>
      <c r="R42" s="61">
        <f t="shared" si="23"/>
        <v>4</v>
      </c>
      <c r="S42" s="61">
        <f t="shared" si="22"/>
        <v>12680.25</v>
      </c>
      <c r="T42" s="96"/>
    </row>
    <row r="43" ht="23" customHeight="1" outlineLevel="2" spans="1:20">
      <c r="A43" s="67"/>
      <c r="B43" s="64" t="s">
        <v>60</v>
      </c>
      <c r="C43" s="65">
        <f t="shared" ref="C43:G43" si="24">SUM(C34:C42)</f>
        <v>206.65</v>
      </c>
      <c r="D43" s="65">
        <f t="shared" si="24"/>
        <v>367.3</v>
      </c>
      <c r="E43" s="65">
        <f t="shared" si="24"/>
        <v>0</v>
      </c>
      <c r="F43" s="66"/>
      <c r="G43" s="65">
        <f t="shared" si="24"/>
        <v>573.95</v>
      </c>
      <c r="H43" s="66" t="s">
        <v>18</v>
      </c>
      <c r="I43" s="66">
        <v>1</v>
      </c>
      <c r="J43" s="88"/>
      <c r="K43" s="66"/>
      <c r="L43" s="65">
        <f t="shared" ref="L43:P43" si="25">SUM(L34:L42)</f>
        <v>6.6152</v>
      </c>
      <c r="M43" s="65">
        <f t="shared" si="25"/>
        <v>304.702</v>
      </c>
      <c r="N43" s="65">
        <f t="shared" si="25"/>
        <v>258.1958</v>
      </c>
      <c r="O43" s="65">
        <f t="shared" si="25"/>
        <v>0</v>
      </c>
      <c r="P43" s="65">
        <f t="shared" si="25"/>
        <v>569.513</v>
      </c>
      <c r="Q43" s="97" t="str">
        <f t="shared" si="20"/>
        <v>m²</v>
      </c>
      <c r="R43" s="66">
        <f t="shared" si="23"/>
        <v>1</v>
      </c>
      <c r="S43" s="66"/>
      <c r="T43" s="98"/>
    </row>
    <row r="44" ht="23" customHeight="1" outlineLevel="1" spans="1:20">
      <c r="A44" s="55" t="s">
        <v>61</v>
      </c>
      <c r="B44" s="56" t="s">
        <v>62</v>
      </c>
      <c r="C44" s="58"/>
      <c r="D44" s="58"/>
      <c r="E44" s="58"/>
      <c r="F44" s="58"/>
      <c r="G44" s="58"/>
      <c r="H44" s="58"/>
      <c r="I44" s="58"/>
      <c r="J44" s="85"/>
      <c r="K44" s="58"/>
      <c r="L44" s="58"/>
      <c r="M44" s="58"/>
      <c r="N44" s="58"/>
      <c r="O44" s="58"/>
      <c r="P44" s="58"/>
      <c r="Q44" s="58"/>
      <c r="R44" s="58"/>
      <c r="S44" s="58"/>
      <c r="T44" s="95"/>
    </row>
    <row r="45" s="41" customFormat="1" ht="23" customHeight="1" outlineLevel="2" spans="1:20">
      <c r="A45" s="59">
        <v>1</v>
      </c>
      <c r="B45" s="60" t="s">
        <v>63</v>
      </c>
      <c r="C45" s="61">
        <v>82.15</v>
      </c>
      <c r="D45" s="61"/>
      <c r="E45" s="61"/>
      <c r="F45" s="61"/>
      <c r="G45" s="61">
        <f t="shared" ref="G45:G51" si="26">SUM(C45:F45)</f>
        <v>82.15</v>
      </c>
      <c r="H45" s="62" t="s">
        <v>18</v>
      </c>
      <c r="I45" s="61">
        <v>2053.8</v>
      </c>
      <c r="J45" s="86">
        <f t="shared" ref="J45:J51" si="27">+G45/I45*10000</f>
        <v>399.990261953452</v>
      </c>
      <c r="K45" s="61"/>
      <c r="L45" s="61">
        <f>947241/10000</f>
        <v>94.7241</v>
      </c>
      <c r="M45" s="61"/>
      <c r="N45" s="61"/>
      <c r="O45" s="61"/>
      <c r="P45" s="61">
        <f t="shared" ref="P45:P51" si="28">SUM(L45:O45)</f>
        <v>94.7241</v>
      </c>
      <c r="Q45" s="62" t="str">
        <f t="shared" ref="Q45:Q51" si="29">H45</f>
        <v>m²</v>
      </c>
      <c r="R45" s="61">
        <v>3030</v>
      </c>
      <c r="S45" s="61">
        <f t="shared" ref="S45:S51" si="30">+P45/R45*10000</f>
        <v>312.620792079208</v>
      </c>
      <c r="T45" s="100"/>
    </row>
    <row r="46" s="41" customFormat="1" ht="23" customHeight="1" outlineLevel="2" spans="1:20">
      <c r="A46" s="59">
        <v>2</v>
      </c>
      <c r="B46" s="68" t="s">
        <v>64</v>
      </c>
      <c r="C46" s="61">
        <v>58</v>
      </c>
      <c r="D46" s="61"/>
      <c r="E46" s="61"/>
      <c r="F46" s="61"/>
      <c r="G46" s="61">
        <f t="shared" si="26"/>
        <v>58</v>
      </c>
      <c r="H46" s="62" t="s">
        <v>18</v>
      </c>
      <c r="I46" s="61">
        <v>2900</v>
      </c>
      <c r="J46" s="86">
        <f t="shared" si="27"/>
        <v>200</v>
      </c>
      <c r="K46" s="61"/>
      <c r="L46" s="61">
        <f>556663/10000</f>
        <v>55.6663</v>
      </c>
      <c r="M46" s="61"/>
      <c r="N46" s="61"/>
      <c r="O46" s="61"/>
      <c r="P46" s="61">
        <f t="shared" si="28"/>
        <v>55.6663</v>
      </c>
      <c r="Q46" s="62" t="str">
        <f t="shared" si="29"/>
        <v>m²</v>
      </c>
      <c r="R46" s="61">
        <v>2749.6</v>
      </c>
      <c r="S46" s="61">
        <f t="shared" si="30"/>
        <v>202.45235670643</v>
      </c>
      <c r="T46" s="100"/>
    </row>
    <row r="47" s="41" customFormat="1" ht="23" customHeight="1" outlineLevel="2" spans="1:20">
      <c r="A47" s="59">
        <v>3</v>
      </c>
      <c r="B47" s="60" t="s">
        <v>65</v>
      </c>
      <c r="C47" s="61">
        <v>32</v>
      </c>
      <c r="D47" s="61"/>
      <c r="E47" s="61"/>
      <c r="F47" s="61"/>
      <c r="G47" s="61">
        <f t="shared" si="26"/>
        <v>32</v>
      </c>
      <c r="H47" s="62" t="s">
        <v>38</v>
      </c>
      <c r="I47" s="61">
        <v>320</v>
      </c>
      <c r="J47" s="86">
        <f t="shared" si="27"/>
        <v>1000</v>
      </c>
      <c r="K47" s="61"/>
      <c r="L47" s="61">
        <f>656234/10000</f>
        <v>65.6234</v>
      </c>
      <c r="M47" s="61"/>
      <c r="N47" s="61"/>
      <c r="O47" s="61"/>
      <c r="P47" s="61">
        <f t="shared" si="28"/>
        <v>65.6234</v>
      </c>
      <c r="Q47" s="62" t="str">
        <f t="shared" si="29"/>
        <v>m</v>
      </c>
      <c r="R47" s="61">
        <f>I47</f>
        <v>320</v>
      </c>
      <c r="S47" s="61">
        <f t="shared" si="30"/>
        <v>2050.73125</v>
      </c>
      <c r="T47" s="100"/>
    </row>
    <row r="48" s="41" customFormat="1" ht="23" customHeight="1" outlineLevel="2" spans="1:20">
      <c r="A48" s="59">
        <v>4</v>
      </c>
      <c r="B48" s="60" t="s">
        <v>66</v>
      </c>
      <c r="C48" s="61">
        <v>6</v>
      </c>
      <c r="D48" s="61"/>
      <c r="E48" s="61"/>
      <c r="F48" s="61"/>
      <c r="G48" s="61">
        <f t="shared" si="26"/>
        <v>6</v>
      </c>
      <c r="H48" s="62" t="s">
        <v>58</v>
      </c>
      <c r="I48" s="61">
        <v>1</v>
      </c>
      <c r="J48" s="86">
        <f t="shared" si="27"/>
        <v>60000</v>
      </c>
      <c r="K48" s="61"/>
      <c r="L48" s="61">
        <v>11.8861</v>
      </c>
      <c r="M48" s="61"/>
      <c r="N48" s="61"/>
      <c r="O48" s="61"/>
      <c r="P48" s="61">
        <f t="shared" si="28"/>
        <v>11.8861</v>
      </c>
      <c r="Q48" s="62" t="str">
        <f t="shared" si="29"/>
        <v>个</v>
      </c>
      <c r="R48" s="61">
        <f>I48</f>
        <v>1</v>
      </c>
      <c r="S48" s="61">
        <f t="shared" si="30"/>
        <v>118861</v>
      </c>
      <c r="T48" s="100"/>
    </row>
    <row r="49" s="41" customFormat="1" ht="23" customHeight="1" outlineLevel="2" spans="1:20">
      <c r="A49" s="59">
        <v>5</v>
      </c>
      <c r="B49" s="60" t="s">
        <v>67</v>
      </c>
      <c r="C49" s="61"/>
      <c r="D49" s="61"/>
      <c r="E49" s="61">
        <v>59.45</v>
      </c>
      <c r="F49" s="61"/>
      <c r="G49" s="61">
        <f t="shared" si="26"/>
        <v>59.45</v>
      </c>
      <c r="H49" s="62" t="s">
        <v>18</v>
      </c>
      <c r="I49" s="61">
        <v>4954</v>
      </c>
      <c r="J49" s="86">
        <f t="shared" si="27"/>
        <v>120.004037141704</v>
      </c>
      <c r="K49" s="61"/>
      <c r="L49" s="61"/>
      <c r="M49" s="61">
        <v>12.7146</v>
      </c>
      <c r="N49" s="61">
        <v>55.9985</v>
      </c>
      <c r="O49" s="61"/>
      <c r="P49" s="61">
        <f t="shared" si="28"/>
        <v>68.7131</v>
      </c>
      <c r="Q49" s="62" t="str">
        <f t="shared" si="29"/>
        <v>m²</v>
      </c>
      <c r="R49" s="61">
        <f>R45+R46</f>
        <v>5779.6</v>
      </c>
      <c r="S49" s="61">
        <f t="shared" si="30"/>
        <v>118.889023461831</v>
      </c>
      <c r="T49" s="100"/>
    </row>
    <row r="50" s="41" customFormat="1" ht="23" customHeight="1" outlineLevel="2" spans="1:20">
      <c r="A50" s="59">
        <v>6</v>
      </c>
      <c r="B50" s="60" t="s">
        <v>68</v>
      </c>
      <c r="C50" s="61"/>
      <c r="D50" s="61"/>
      <c r="E50" s="61">
        <v>49.54</v>
      </c>
      <c r="F50" s="61"/>
      <c r="G50" s="61">
        <f t="shared" si="26"/>
        <v>49.54</v>
      </c>
      <c r="H50" s="62" t="s">
        <v>18</v>
      </c>
      <c r="I50" s="61">
        <v>4954</v>
      </c>
      <c r="J50" s="86">
        <f t="shared" si="27"/>
        <v>100</v>
      </c>
      <c r="K50" s="61"/>
      <c r="L50" s="61"/>
      <c r="M50" s="61"/>
      <c r="N50" s="61">
        <v>48.7392</v>
      </c>
      <c r="O50" s="61"/>
      <c r="P50" s="61">
        <f t="shared" si="28"/>
        <v>48.7392</v>
      </c>
      <c r="Q50" s="62" t="str">
        <f t="shared" si="29"/>
        <v>m²</v>
      </c>
      <c r="R50" s="61">
        <f>R49</f>
        <v>5779.6</v>
      </c>
      <c r="S50" s="61">
        <f t="shared" si="30"/>
        <v>84.3297113987127</v>
      </c>
      <c r="T50" s="100"/>
    </row>
    <row r="51" s="41" customFormat="1" ht="23" customHeight="1" outlineLevel="2" spans="1:20">
      <c r="A51" s="59">
        <v>7</v>
      </c>
      <c r="B51" s="60" t="s">
        <v>69</v>
      </c>
      <c r="C51" s="61"/>
      <c r="D51" s="61"/>
      <c r="E51" s="61">
        <v>99.08</v>
      </c>
      <c r="F51" s="61"/>
      <c r="G51" s="61">
        <f t="shared" si="26"/>
        <v>99.08</v>
      </c>
      <c r="H51" s="62" t="s">
        <v>18</v>
      </c>
      <c r="I51" s="61">
        <v>4954</v>
      </c>
      <c r="J51" s="86">
        <f t="shared" si="27"/>
        <v>200</v>
      </c>
      <c r="K51" s="61"/>
      <c r="L51" s="61"/>
      <c r="M51" s="61">
        <v>2.238</v>
      </c>
      <c r="N51" s="61">
        <v>84.9779</v>
      </c>
      <c r="O51" s="61"/>
      <c r="P51" s="61">
        <f t="shared" si="28"/>
        <v>87.2159</v>
      </c>
      <c r="Q51" s="62" t="str">
        <f t="shared" si="29"/>
        <v>m²</v>
      </c>
      <c r="R51" s="61">
        <f>R50</f>
        <v>5779.6</v>
      </c>
      <c r="S51" s="61">
        <f t="shared" si="30"/>
        <v>150.903003668074</v>
      </c>
      <c r="T51" s="100"/>
    </row>
    <row r="52" ht="23" customHeight="1" outlineLevel="2" spans="1:20">
      <c r="A52" s="67"/>
      <c r="B52" s="69" t="s">
        <v>70</v>
      </c>
      <c r="C52" s="65">
        <f t="shared" ref="C52:G52" si="31">SUM(C45:C51)</f>
        <v>178.15</v>
      </c>
      <c r="D52" s="66"/>
      <c r="E52" s="65">
        <f t="shared" si="31"/>
        <v>208.07</v>
      </c>
      <c r="F52" s="66"/>
      <c r="G52" s="65">
        <f t="shared" si="31"/>
        <v>386.22</v>
      </c>
      <c r="H52" s="66"/>
      <c r="I52" s="66"/>
      <c r="J52" s="88"/>
      <c r="K52" s="66"/>
      <c r="L52" s="65">
        <f t="shared" ref="L52:N52" si="32">SUM(L45:L51)</f>
        <v>227.8999</v>
      </c>
      <c r="M52" s="65">
        <f t="shared" si="32"/>
        <v>14.9526</v>
      </c>
      <c r="N52" s="65">
        <f t="shared" si="32"/>
        <v>189.7156</v>
      </c>
      <c r="O52" s="66"/>
      <c r="P52" s="65">
        <f>SUM(P45:P51)</f>
        <v>432.5681</v>
      </c>
      <c r="Q52" s="66"/>
      <c r="R52" s="66"/>
      <c r="S52" s="66"/>
      <c r="T52" s="98"/>
    </row>
    <row r="53" ht="23" customHeight="1" outlineLevel="1" spans="1:20">
      <c r="A53" s="55" t="s">
        <v>71</v>
      </c>
      <c r="B53" s="56" t="s">
        <v>72</v>
      </c>
      <c r="C53" s="58"/>
      <c r="D53" s="58"/>
      <c r="E53" s="58"/>
      <c r="F53" s="58"/>
      <c r="G53" s="58"/>
      <c r="H53" s="58"/>
      <c r="I53" s="58"/>
      <c r="J53" s="85"/>
      <c r="K53" s="58"/>
      <c r="L53" s="58"/>
      <c r="M53" s="58"/>
      <c r="N53" s="58"/>
      <c r="O53" s="58"/>
      <c r="P53" s="58"/>
      <c r="Q53" s="58"/>
      <c r="R53" s="58"/>
      <c r="S53" s="58"/>
      <c r="T53" s="95"/>
    </row>
    <row r="54" s="41" customFormat="1" ht="23" customHeight="1" outlineLevel="2" spans="1:20">
      <c r="A54" s="59">
        <v>1</v>
      </c>
      <c r="B54" s="70" t="s">
        <v>73</v>
      </c>
      <c r="C54" s="61">
        <v>4</v>
      </c>
      <c r="D54" s="61"/>
      <c r="E54" s="61"/>
      <c r="F54" s="61"/>
      <c r="G54" s="61">
        <f t="shared" ref="G54:G90" si="33">SUM(C54:F54)</f>
        <v>4</v>
      </c>
      <c r="H54" s="62" t="s">
        <v>18</v>
      </c>
      <c r="I54" s="61">
        <v>20</v>
      </c>
      <c r="J54" s="86">
        <f t="shared" ref="J54:J56" si="34">+G54/I54*10000</f>
        <v>2000</v>
      </c>
      <c r="K54" s="61"/>
      <c r="L54" s="61">
        <v>10.019</v>
      </c>
      <c r="M54" s="61"/>
      <c r="N54" s="61"/>
      <c r="O54" s="61"/>
      <c r="P54" s="61">
        <f t="shared" ref="P54:P90" si="35">SUM(L54:O54)</f>
        <v>10.019</v>
      </c>
      <c r="Q54" s="62" t="str">
        <f>H54</f>
        <v>m²</v>
      </c>
      <c r="R54" s="61">
        <v>29.69</v>
      </c>
      <c r="S54" s="61">
        <f t="shared" ref="S54:S56" si="36">+P54/R54*10000</f>
        <v>3374.53688110475</v>
      </c>
      <c r="T54" s="100"/>
    </row>
    <row r="55" s="41" customFormat="1" ht="23" customHeight="1" outlineLevel="2" spans="1:20">
      <c r="A55" s="59">
        <v>2</v>
      </c>
      <c r="B55" s="70" t="s">
        <v>74</v>
      </c>
      <c r="C55" s="61"/>
      <c r="D55" s="61"/>
      <c r="E55" s="61">
        <v>6</v>
      </c>
      <c r="F55" s="61"/>
      <c r="G55" s="61">
        <f t="shared" si="33"/>
        <v>6</v>
      </c>
      <c r="H55" s="62" t="s">
        <v>18</v>
      </c>
      <c r="I55" s="61">
        <v>20</v>
      </c>
      <c r="J55" s="86">
        <f t="shared" si="34"/>
        <v>3000</v>
      </c>
      <c r="K55" s="61"/>
      <c r="L55" s="61"/>
      <c r="M55" s="61"/>
      <c r="N55" s="61">
        <v>2.4823</v>
      </c>
      <c r="O55" s="61"/>
      <c r="P55" s="61">
        <f t="shared" si="35"/>
        <v>2.4823</v>
      </c>
      <c r="Q55" s="62" t="str">
        <f>H55</f>
        <v>m²</v>
      </c>
      <c r="R55" s="61">
        <v>29.69</v>
      </c>
      <c r="S55" s="61">
        <f t="shared" si="36"/>
        <v>836.072751768272</v>
      </c>
      <c r="T55" s="100"/>
    </row>
    <row r="56" ht="23" customHeight="1" outlineLevel="2" spans="1:20">
      <c r="A56" s="67"/>
      <c r="B56" s="69" t="s">
        <v>75</v>
      </c>
      <c r="C56" s="65">
        <f t="shared" ref="C56:G56" si="37">SUM(C54:C55)</f>
        <v>4</v>
      </c>
      <c r="D56" s="66"/>
      <c r="E56" s="65">
        <f t="shared" si="37"/>
        <v>6</v>
      </c>
      <c r="F56" s="66"/>
      <c r="G56" s="65">
        <f t="shared" si="37"/>
        <v>10</v>
      </c>
      <c r="H56" s="66" t="s">
        <v>18</v>
      </c>
      <c r="I56" s="66">
        <v>20</v>
      </c>
      <c r="J56" s="87">
        <f t="shared" si="34"/>
        <v>5000</v>
      </c>
      <c r="K56" s="66"/>
      <c r="L56" s="65">
        <f t="shared" ref="L56:N56" si="38">SUM(L54:L55)</f>
        <v>10.019</v>
      </c>
      <c r="M56" s="65">
        <f t="shared" si="38"/>
        <v>0</v>
      </c>
      <c r="N56" s="65">
        <f t="shared" si="38"/>
        <v>2.4823</v>
      </c>
      <c r="O56" s="66"/>
      <c r="P56" s="65">
        <f>SUM(P54:P55)</f>
        <v>12.5013</v>
      </c>
      <c r="Q56" s="66" t="s">
        <v>18</v>
      </c>
      <c r="R56" s="66">
        <v>29.69</v>
      </c>
      <c r="S56" s="65">
        <f t="shared" si="36"/>
        <v>4210.60963287302</v>
      </c>
      <c r="T56" s="98"/>
    </row>
    <row r="57" s="2" customFormat="1" ht="23" customHeight="1" spans="1:20">
      <c r="A57" s="55" t="s">
        <v>76</v>
      </c>
      <c r="B57" s="56" t="s">
        <v>77</v>
      </c>
      <c r="C57" s="57"/>
      <c r="D57" s="57"/>
      <c r="E57" s="57"/>
      <c r="F57" s="57">
        <f>F58+F62+F66+F68+F71+F72+F73+F74+F75+F76+F77+F78+F79+F80+F81+F82+F83</f>
        <v>641.48</v>
      </c>
      <c r="G57" s="57">
        <f>G58+G62+G66+G68+G71+G72+G73+G74+G75+G76+G77+G78+G79+G80+G81+G82+G83</f>
        <v>641.48</v>
      </c>
      <c r="H57" s="57"/>
      <c r="I57" s="57"/>
      <c r="J57" s="89"/>
      <c r="K57" s="57"/>
      <c r="L57" s="57"/>
      <c r="M57" s="57"/>
      <c r="N57" s="57"/>
      <c r="O57" s="57">
        <f ca="1">O58+O62+O66+O68+O71+O72+O73+O74+O75+O76+O77+O78+O79+O80+O81+O82+O83</f>
        <v>499.476959715294</v>
      </c>
      <c r="P57" s="57">
        <f ca="1">P58+P62+P66+P68+P71+P72+P73+P74+P75+P76+P77+P78+P79+P80+P81+P82+P83</f>
        <v>499.476959715294</v>
      </c>
      <c r="Q57" s="57"/>
      <c r="R57" s="57"/>
      <c r="S57" s="57"/>
      <c r="T57" s="101"/>
    </row>
    <row r="58" ht="23" customHeight="1" outlineLevel="1" spans="1:20">
      <c r="A58" s="71" t="s">
        <v>78</v>
      </c>
      <c r="B58" s="72" t="s">
        <v>79</v>
      </c>
      <c r="C58" s="73"/>
      <c r="D58" s="73"/>
      <c r="E58" s="73"/>
      <c r="F58" s="73">
        <f>SUM(F59:F61)</f>
        <v>22.89</v>
      </c>
      <c r="G58" s="73">
        <f t="shared" si="33"/>
        <v>22.89</v>
      </c>
      <c r="H58" s="73"/>
      <c r="I58" s="73"/>
      <c r="J58" s="90"/>
      <c r="K58" s="73"/>
      <c r="L58" s="91"/>
      <c r="M58" s="91"/>
      <c r="N58" s="91"/>
      <c r="O58" s="91">
        <f ca="1">工程建设其他费用计算表02表!E5</f>
        <v>22.88604298</v>
      </c>
      <c r="P58" s="91">
        <f ca="1" t="shared" si="35"/>
        <v>22.88604298</v>
      </c>
      <c r="Q58" s="73"/>
      <c r="R58" s="91"/>
      <c r="S58" s="91"/>
      <c r="T58" s="102"/>
    </row>
    <row r="59" s="41" customFormat="1" ht="23" customHeight="1" outlineLevel="2" spans="1:20">
      <c r="A59" s="59">
        <v>1</v>
      </c>
      <c r="B59" s="68" t="s">
        <v>80</v>
      </c>
      <c r="C59" s="74"/>
      <c r="D59" s="74"/>
      <c r="E59" s="74"/>
      <c r="F59" s="74">
        <v>6.83</v>
      </c>
      <c r="G59" s="74">
        <f t="shared" si="33"/>
        <v>6.83</v>
      </c>
      <c r="H59" s="74"/>
      <c r="I59" s="74"/>
      <c r="J59" s="86"/>
      <c r="K59" s="74"/>
      <c r="L59" s="61"/>
      <c r="M59" s="61"/>
      <c r="N59" s="61"/>
      <c r="O59" s="61">
        <f ca="1">工程建设其他费用计算表02表!E6</f>
        <v>6.82694298</v>
      </c>
      <c r="P59" s="61">
        <f ca="1" t="shared" si="35"/>
        <v>6.82694298</v>
      </c>
      <c r="Q59" s="74"/>
      <c r="R59" s="61"/>
      <c r="S59" s="61"/>
      <c r="T59" s="103"/>
    </row>
    <row r="60" s="41" customFormat="1" ht="23" customHeight="1" outlineLevel="2" spans="1:20">
      <c r="A60" s="59">
        <v>2</v>
      </c>
      <c r="B60" s="68" t="s">
        <v>81</v>
      </c>
      <c r="C60" s="74"/>
      <c r="D60" s="74"/>
      <c r="E60" s="74"/>
      <c r="F60" s="74">
        <v>5.66</v>
      </c>
      <c r="G60" s="74">
        <f t="shared" si="33"/>
        <v>5.66</v>
      </c>
      <c r="H60" s="74"/>
      <c r="I60" s="74"/>
      <c r="J60" s="86"/>
      <c r="K60" s="74"/>
      <c r="L60" s="61"/>
      <c r="M60" s="61"/>
      <c r="N60" s="61"/>
      <c r="O60" s="61">
        <f ca="1">工程建设其他费用计算表02表!E7</f>
        <v>5.6591</v>
      </c>
      <c r="P60" s="61">
        <f ca="1" t="shared" si="35"/>
        <v>5.6591</v>
      </c>
      <c r="Q60" s="74"/>
      <c r="R60" s="61"/>
      <c r="S60" s="61"/>
      <c r="T60" s="103"/>
    </row>
    <row r="61" s="41" customFormat="1" ht="23" customHeight="1" outlineLevel="2" spans="1:20">
      <c r="A61" s="59">
        <v>3</v>
      </c>
      <c r="B61" s="68" t="s">
        <v>82</v>
      </c>
      <c r="C61" s="74"/>
      <c r="D61" s="74"/>
      <c r="E61" s="74"/>
      <c r="F61" s="74">
        <v>10.4</v>
      </c>
      <c r="G61" s="74">
        <f t="shared" si="33"/>
        <v>10.4</v>
      </c>
      <c r="H61" s="74"/>
      <c r="I61" s="74"/>
      <c r="J61" s="86"/>
      <c r="K61" s="74"/>
      <c r="L61" s="61"/>
      <c r="M61" s="61"/>
      <c r="N61" s="61"/>
      <c r="O61" s="61">
        <f ca="1">工程建设其他费用计算表02表!E8</f>
        <v>10.4</v>
      </c>
      <c r="P61" s="61">
        <f ca="1" t="shared" si="35"/>
        <v>10.4</v>
      </c>
      <c r="Q61" s="74"/>
      <c r="R61" s="61"/>
      <c r="S61" s="61"/>
      <c r="T61" s="103"/>
    </row>
    <row r="62" ht="23" customHeight="1" outlineLevel="1" spans="1:20">
      <c r="A62" s="71" t="s">
        <v>83</v>
      </c>
      <c r="B62" s="72" t="s">
        <v>84</v>
      </c>
      <c r="C62" s="73"/>
      <c r="D62" s="73"/>
      <c r="E62" s="73"/>
      <c r="F62" s="73">
        <f>SUM(F63:F65)</f>
        <v>264.25</v>
      </c>
      <c r="G62" s="73">
        <f t="shared" si="33"/>
        <v>264.25</v>
      </c>
      <c r="H62" s="73"/>
      <c r="I62" s="73"/>
      <c r="J62" s="90"/>
      <c r="K62" s="73"/>
      <c r="L62" s="91"/>
      <c r="M62" s="91"/>
      <c r="N62" s="91"/>
      <c r="O62" s="91">
        <f ca="1">工程建设其他费用计算表02表!E9</f>
        <v>178.8803332</v>
      </c>
      <c r="P62" s="91">
        <f ca="1" t="shared" si="35"/>
        <v>178.8803332</v>
      </c>
      <c r="Q62" s="73"/>
      <c r="R62" s="91"/>
      <c r="S62" s="91"/>
      <c r="T62" s="102"/>
    </row>
    <row r="63" s="41" customFormat="1" ht="23" customHeight="1" outlineLevel="2" spans="1:20">
      <c r="A63" s="59">
        <v>1</v>
      </c>
      <c r="B63" s="68" t="s">
        <v>85</v>
      </c>
      <c r="C63" s="74"/>
      <c r="D63" s="74"/>
      <c r="E63" s="74"/>
      <c r="F63" s="74">
        <v>106.09</v>
      </c>
      <c r="G63" s="74">
        <f t="shared" si="33"/>
        <v>106.09</v>
      </c>
      <c r="H63" s="74"/>
      <c r="I63" s="74"/>
      <c r="J63" s="86"/>
      <c r="K63" s="74"/>
      <c r="L63" s="61"/>
      <c r="M63" s="61"/>
      <c r="N63" s="61"/>
      <c r="O63" s="61">
        <f ca="1">工程建设其他费用计算表02表!E10</f>
        <v>70.4348</v>
      </c>
      <c r="P63" s="61">
        <f ca="1" t="shared" si="35"/>
        <v>70.4348</v>
      </c>
      <c r="Q63" s="74"/>
      <c r="R63" s="61"/>
      <c r="S63" s="61"/>
      <c r="T63" s="103"/>
    </row>
    <row r="64" s="41" customFormat="1" ht="23" customHeight="1" outlineLevel="2" spans="1:20">
      <c r="A64" s="59">
        <v>2</v>
      </c>
      <c r="B64" s="68" t="s">
        <v>86</v>
      </c>
      <c r="C64" s="74"/>
      <c r="D64" s="74"/>
      <c r="E64" s="74"/>
      <c r="F64" s="74">
        <v>124.4</v>
      </c>
      <c r="G64" s="74">
        <f t="shared" si="33"/>
        <v>124.4</v>
      </c>
      <c r="H64" s="74"/>
      <c r="I64" s="74"/>
      <c r="J64" s="86"/>
      <c r="K64" s="74"/>
      <c r="L64" s="61"/>
      <c r="M64" s="61"/>
      <c r="N64" s="61"/>
      <c r="O64" s="61">
        <f ca="1">工程建设其他费用计算表02表!E11</f>
        <v>75.0298724</v>
      </c>
      <c r="P64" s="61">
        <f ca="1" t="shared" si="35"/>
        <v>75.0298724</v>
      </c>
      <c r="Q64" s="74"/>
      <c r="R64" s="61"/>
      <c r="S64" s="61"/>
      <c r="T64" s="103"/>
    </row>
    <row r="65" s="41" customFormat="1" ht="23" customHeight="1" outlineLevel="2" spans="1:20">
      <c r="A65" s="59">
        <v>3</v>
      </c>
      <c r="B65" s="68" t="s">
        <v>87</v>
      </c>
      <c r="C65" s="74"/>
      <c r="D65" s="74"/>
      <c r="E65" s="74"/>
      <c r="F65" s="74">
        <v>33.76</v>
      </c>
      <c r="G65" s="74">
        <f t="shared" si="33"/>
        <v>33.76</v>
      </c>
      <c r="H65" s="74"/>
      <c r="I65" s="74"/>
      <c r="J65" s="86"/>
      <c r="K65" s="74"/>
      <c r="L65" s="61"/>
      <c r="M65" s="61"/>
      <c r="N65" s="61"/>
      <c r="O65" s="61">
        <f ca="1">工程建设其他费用计算表02表!E12</f>
        <v>33.4156608</v>
      </c>
      <c r="P65" s="61">
        <f ca="1" t="shared" si="35"/>
        <v>33.4156608</v>
      </c>
      <c r="Q65" s="74"/>
      <c r="R65" s="61"/>
      <c r="S65" s="61"/>
      <c r="T65" s="103"/>
    </row>
    <row r="66" ht="23" customHeight="1" outlineLevel="1" spans="1:20">
      <c r="A66" s="71" t="s">
        <v>88</v>
      </c>
      <c r="B66" s="72" t="s">
        <v>89</v>
      </c>
      <c r="C66" s="73"/>
      <c r="D66" s="73"/>
      <c r="E66" s="73"/>
      <c r="F66" s="73">
        <f>SUM(F67:F67)</f>
        <v>17.23</v>
      </c>
      <c r="G66" s="73">
        <f t="shared" si="33"/>
        <v>17.23</v>
      </c>
      <c r="H66" s="73"/>
      <c r="I66" s="73"/>
      <c r="J66" s="90"/>
      <c r="K66" s="73"/>
      <c r="L66" s="91"/>
      <c r="M66" s="91"/>
      <c r="N66" s="91"/>
      <c r="O66" s="91">
        <f ca="1">工程建设其他费用计算表02表!E13</f>
        <v>10.82</v>
      </c>
      <c r="P66" s="91">
        <f ca="1" t="shared" si="35"/>
        <v>10.82</v>
      </c>
      <c r="Q66" s="73"/>
      <c r="R66" s="91"/>
      <c r="S66" s="91"/>
      <c r="T66" s="102"/>
    </row>
    <row r="67" s="41" customFormat="1" ht="23" customHeight="1" outlineLevel="2" spans="1:20">
      <c r="A67" s="59">
        <v>1</v>
      </c>
      <c r="B67" s="68" t="s">
        <v>90</v>
      </c>
      <c r="C67" s="74"/>
      <c r="D67" s="74"/>
      <c r="E67" s="74"/>
      <c r="F67" s="74">
        <v>17.23</v>
      </c>
      <c r="G67" s="74">
        <f t="shared" si="33"/>
        <v>17.23</v>
      </c>
      <c r="H67" s="74"/>
      <c r="I67" s="74"/>
      <c r="J67" s="86"/>
      <c r="K67" s="74"/>
      <c r="L67" s="61"/>
      <c r="M67" s="61"/>
      <c r="N67" s="61"/>
      <c r="O67" s="61">
        <f ca="1">工程建设其他费用计算表02表!E14</f>
        <v>10.82</v>
      </c>
      <c r="P67" s="61">
        <f ca="1" t="shared" si="35"/>
        <v>10.82</v>
      </c>
      <c r="Q67" s="74"/>
      <c r="R67" s="61"/>
      <c r="S67" s="61"/>
      <c r="T67" s="103"/>
    </row>
    <row r="68" ht="23" customHeight="1" outlineLevel="1" spans="1:20">
      <c r="A68" s="71" t="s">
        <v>91</v>
      </c>
      <c r="B68" s="72" t="s">
        <v>92</v>
      </c>
      <c r="C68" s="73"/>
      <c r="D68" s="73"/>
      <c r="E68" s="73"/>
      <c r="F68" s="73">
        <f>SUM(F69:F70)</f>
        <v>181.4</v>
      </c>
      <c r="G68" s="73">
        <f t="shared" si="33"/>
        <v>181.4</v>
      </c>
      <c r="H68" s="73"/>
      <c r="I68" s="73"/>
      <c r="J68" s="90"/>
      <c r="K68" s="73"/>
      <c r="L68" s="91"/>
      <c r="M68" s="91"/>
      <c r="N68" s="91"/>
      <c r="O68" s="91">
        <f ca="1">工程建设其他费用计算表02表!E15</f>
        <v>121.9394</v>
      </c>
      <c r="P68" s="91">
        <f ca="1" t="shared" si="35"/>
        <v>121.9394</v>
      </c>
      <c r="Q68" s="73"/>
      <c r="R68" s="91"/>
      <c r="S68" s="91"/>
      <c r="T68" s="102"/>
    </row>
    <row r="69" s="41" customFormat="1" ht="23" customHeight="1" outlineLevel="2" spans="1:20">
      <c r="A69" s="59">
        <v>1</v>
      </c>
      <c r="B69" s="68" t="s">
        <v>93</v>
      </c>
      <c r="C69" s="74"/>
      <c r="D69" s="74"/>
      <c r="E69" s="74"/>
      <c r="F69" s="74">
        <v>35.27</v>
      </c>
      <c r="G69" s="74">
        <f t="shared" si="33"/>
        <v>35.27</v>
      </c>
      <c r="H69" s="74"/>
      <c r="I69" s="74"/>
      <c r="J69" s="86"/>
      <c r="K69" s="74"/>
      <c r="L69" s="61"/>
      <c r="M69" s="61"/>
      <c r="N69" s="61"/>
      <c r="O69" s="61">
        <f ca="1">工程建设其他费用计算表02表!E16</f>
        <v>25</v>
      </c>
      <c r="P69" s="61">
        <f ca="1" t="shared" si="35"/>
        <v>25</v>
      </c>
      <c r="Q69" s="74"/>
      <c r="R69" s="61"/>
      <c r="S69" s="61"/>
      <c r="T69" s="103"/>
    </row>
    <row r="70" s="41" customFormat="1" ht="23" customHeight="1" outlineLevel="2" spans="1:20">
      <c r="A70" s="59">
        <v>2</v>
      </c>
      <c r="B70" s="68" t="s">
        <v>94</v>
      </c>
      <c r="C70" s="74"/>
      <c r="D70" s="74"/>
      <c r="E70" s="74"/>
      <c r="F70" s="74">
        <v>146.13</v>
      </c>
      <c r="G70" s="74">
        <f t="shared" si="33"/>
        <v>146.13</v>
      </c>
      <c r="H70" s="74"/>
      <c r="I70" s="74"/>
      <c r="J70" s="86"/>
      <c r="K70" s="74"/>
      <c r="L70" s="61"/>
      <c r="M70" s="61"/>
      <c r="N70" s="61"/>
      <c r="O70" s="61">
        <f ca="1">工程建设其他费用计算表02表!E17</f>
        <v>96.9394</v>
      </c>
      <c r="P70" s="61">
        <f ca="1" t="shared" si="35"/>
        <v>96.9394</v>
      </c>
      <c r="Q70" s="74"/>
      <c r="R70" s="61"/>
      <c r="S70" s="61"/>
      <c r="T70" s="103"/>
    </row>
    <row r="71" s="41" customFormat="1" ht="23" customHeight="1" outlineLevel="1" spans="1:20">
      <c r="A71" s="59" t="s">
        <v>95</v>
      </c>
      <c r="B71" s="68" t="s">
        <v>96</v>
      </c>
      <c r="C71" s="74"/>
      <c r="D71" s="74"/>
      <c r="E71" s="74"/>
      <c r="F71" s="74">
        <v>1.2</v>
      </c>
      <c r="G71" s="74">
        <f t="shared" si="33"/>
        <v>1.2</v>
      </c>
      <c r="H71" s="74"/>
      <c r="I71" s="74"/>
      <c r="J71" s="86"/>
      <c r="K71" s="74"/>
      <c r="L71" s="61"/>
      <c r="M71" s="61"/>
      <c r="N71" s="61"/>
      <c r="O71" s="61">
        <f ca="1">工程建设其他费用计算表02表!E18</f>
        <v>1.19570823529412</v>
      </c>
      <c r="P71" s="61">
        <f ca="1" t="shared" si="35"/>
        <v>1.19570823529412</v>
      </c>
      <c r="Q71" s="74"/>
      <c r="R71" s="61"/>
      <c r="S71" s="61"/>
      <c r="T71" s="103"/>
    </row>
    <row r="72" s="41" customFormat="1" ht="23" customHeight="1" outlineLevel="1" spans="1:20">
      <c r="A72" s="59" t="s">
        <v>97</v>
      </c>
      <c r="B72" s="68" t="s">
        <v>98</v>
      </c>
      <c r="C72" s="74"/>
      <c r="D72" s="74"/>
      <c r="E72" s="74"/>
      <c r="F72" s="74">
        <v>2.3</v>
      </c>
      <c r="G72" s="74">
        <f t="shared" si="33"/>
        <v>2.3</v>
      </c>
      <c r="H72" s="74"/>
      <c r="I72" s="74"/>
      <c r="J72" s="86"/>
      <c r="K72" s="74"/>
      <c r="L72" s="61"/>
      <c r="M72" s="61"/>
      <c r="N72" s="61"/>
      <c r="O72" s="61">
        <f ca="1">工程建设其他费用计算表02表!E19</f>
        <v>2.304</v>
      </c>
      <c r="P72" s="61">
        <f ca="1" t="shared" si="35"/>
        <v>2.304</v>
      </c>
      <c r="Q72" s="74"/>
      <c r="R72" s="61"/>
      <c r="S72" s="61"/>
      <c r="T72" s="103"/>
    </row>
    <row r="73" s="41" customFormat="1" ht="23" customHeight="1" outlineLevel="1" spans="1:20">
      <c r="A73" s="59" t="s">
        <v>99</v>
      </c>
      <c r="B73" s="68" t="s">
        <v>100</v>
      </c>
      <c r="C73" s="74"/>
      <c r="D73" s="74"/>
      <c r="E73" s="74"/>
      <c r="F73" s="74">
        <v>4.41</v>
      </c>
      <c r="G73" s="74">
        <f t="shared" si="33"/>
        <v>4.41</v>
      </c>
      <c r="H73" s="74"/>
      <c r="I73" s="74"/>
      <c r="J73" s="86"/>
      <c r="K73" s="74"/>
      <c r="L73" s="61"/>
      <c r="M73" s="61"/>
      <c r="N73" s="61"/>
      <c r="O73" s="61">
        <f ca="1">工程建设其他费用计算表02表!E20</f>
        <v>4.36232</v>
      </c>
      <c r="P73" s="61">
        <f ca="1" t="shared" si="35"/>
        <v>4.36232</v>
      </c>
      <c r="Q73" s="74"/>
      <c r="R73" s="61"/>
      <c r="S73" s="61"/>
      <c r="T73" s="103"/>
    </row>
    <row r="74" s="41" customFormat="1" ht="23" customHeight="1" outlineLevel="1" spans="1:20">
      <c r="A74" s="59" t="s">
        <v>101</v>
      </c>
      <c r="B74" s="68" t="s">
        <v>102</v>
      </c>
      <c r="C74" s="74"/>
      <c r="D74" s="74"/>
      <c r="E74" s="74"/>
      <c r="F74" s="74">
        <v>22.04</v>
      </c>
      <c r="G74" s="74">
        <f t="shared" si="33"/>
        <v>22.04</v>
      </c>
      <c r="H74" s="74"/>
      <c r="I74" s="74"/>
      <c r="J74" s="86"/>
      <c r="K74" s="74"/>
      <c r="L74" s="61"/>
      <c r="M74" s="61"/>
      <c r="N74" s="61"/>
      <c r="O74" s="61">
        <f ca="1">工程建设其他费用计算表02表!E21</f>
        <v>21.8116</v>
      </c>
      <c r="P74" s="61">
        <f ca="1" t="shared" si="35"/>
        <v>21.8116</v>
      </c>
      <c r="Q74" s="74"/>
      <c r="R74" s="61"/>
      <c r="S74" s="61"/>
      <c r="T74" s="103"/>
    </row>
    <row r="75" s="41" customFormat="1" ht="23" customHeight="1" outlineLevel="1" spans="1:20">
      <c r="A75" s="59" t="s">
        <v>103</v>
      </c>
      <c r="B75" s="68" t="s">
        <v>104</v>
      </c>
      <c r="C75" s="74"/>
      <c r="D75" s="74"/>
      <c r="E75" s="74"/>
      <c r="F75" s="74">
        <v>13.23</v>
      </c>
      <c r="G75" s="74">
        <f t="shared" si="33"/>
        <v>13.23</v>
      </c>
      <c r="H75" s="74"/>
      <c r="I75" s="74"/>
      <c r="J75" s="86"/>
      <c r="K75" s="74"/>
      <c r="L75" s="61"/>
      <c r="M75" s="61"/>
      <c r="N75" s="61"/>
      <c r="O75" s="61">
        <f ca="1">工程建设其他费用计算表02表!E22</f>
        <v>13.08696</v>
      </c>
      <c r="P75" s="61">
        <f ca="1" t="shared" si="35"/>
        <v>13.08696</v>
      </c>
      <c r="Q75" s="74"/>
      <c r="R75" s="61"/>
      <c r="S75" s="61"/>
      <c r="T75" s="103"/>
    </row>
    <row r="76" s="41" customFormat="1" ht="23" customHeight="1" outlineLevel="1" spans="1:20">
      <c r="A76" s="59" t="s">
        <v>105</v>
      </c>
      <c r="B76" s="68" t="s">
        <v>106</v>
      </c>
      <c r="C76" s="74"/>
      <c r="D76" s="74"/>
      <c r="E76" s="74"/>
      <c r="F76" s="74">
        <v>30.92</v>
      </c>
      <c r="G76" s="74">
        <f t="shared" si="33"/>
        <v>30.92</v>
      </c>
      <c r="H76" s="74"/>
      <c r="I76" s="74"/>
      <c r="J76" s="86"/>
      <c r="K76" s="74"/>
      <c r="L76" s="61"/>
      <c r="M76" s="61"/>
      <c r="N76" s="61"/>
      <c r="O76" s="61">
        <f ca="1">工程建设其他费用计算表02表!E23</f>
        <v>30.69662</v>
      </c>
      <c r="P76" s="61">
        <f ca="1" t="shared" si="35"/>
        <v>30.69662</v>
      </c>
      <c r="Q76" s="74"/>
      <c r="R76" s="61"/>
      <c r="S76" s="61"/>
      <c r="T76" s="103"/>
    </row>
    <row r="77" s="41" customFormat="1" ht="23" customHeight="1" outlineLevel="1" spans="1:20">
      <c r="A77" s="104" t="s">
        <v>107</v>
      </c>
      <c r="B77" s="68" t="s">
        <v>108</v>
      </c>
      <c r="C77" s="74"/>
      <c r="D77" s="74"/>
      <c r="E77" s="74"/>
      <c r="F77" s="74">
        <v>6.91</v>
      </c>
      <c r="G77" s="74">
        <f t="shared" si="33"/>
        <v>6.91</v>
      </c>
      <c r="H77" s="74"/>
      <c r="I77" s="74"/>
      <c r="J77" s="86"/>
      <c r="K77" s="74"/>
      <c r="L77" s="61"/>
      <c r="M77" s="61"/>
      <c r="N77" s="61"/>
      <c r="O77" s="61">
        <f ca="1">工程建设其他费用计算表02表!E24</f>
        <v>6.86232</v>
      </c>
      <c r="P77" s="61">
        <f ca="1" t="shared" si="35"/>
        <v>6.86232</v>
      </c>
      <c r="Q77" s="74"/>
      <c r="R77" s="61"/>
      <c r="S77" s="61"/>
      <c r="T77" s="103"/>
    </row>
    <row r="78" s="41" customFormat="1" ht="23" customHeight="1" outlineLevel="1" spans="1:20">
      <c r="A78" s="104" t="s">
        <v>109</v>
      </c>
      <c r="B78" s="68" t="s">
        <v>110</v>
      </c>
      <c r="C78" s="74"/>
      <c r="D78" s="74"/>
      <c r="E78" s="74"/>
      <c r="F78" s="74">
        <v>20.53</v>
      </c>
      <c r="G78" s="74">
        <f t="shared" si="33"/>
        <v>20.53</v>
      </c>
      <c r="H78" s="74"/>
      <c r="I78" s="74"/>
      <c r="J78" s="86"/>
      <c r="K78" s="74"/>
      <c r="L78" s="61"/>
      <c r="M78" s="61"/>
      <c r="N78" s="61"/>
      <c r="O78" s="61">
        <f ca="1">工程建设其他费用计算表02表!E25</f>
        <v>20.21658</v>
      </c>
      <c r="P78" s="61">
        <f ca="1" t="shared" si="35"/>
        <v>20.21658</v>
      </c>
      <c r="Q78" s="74"/>
      <c r="R78" s="61"/>
      <c r="S78" s="61"/>
      <c r="T78" s="103"/>
    </row>
    <row r="79" s="41" customFormat="1" ht="23" customHeight="1" outlineLevel="1" spans="1:20">
      <c r="A79" s="104" t="s">
        <v>111</v>
      </c>
      <c r="B79" s="68" t="s">
        <v>112</v>
      </c>
      <c r="C79" s="74"/>
      <c r="D79" s="74"/>
      <c r="E79" s="74"/>
      <c r="F79" s="74">
        <v>0.38</v>
      </c>
      <c r="G79" s="74">
        <f t="shared" si="33"/>
        <v>0.38</v>
      </c>
      <c r="H79" s="74"/>
      <c r="I79" s="74"/>
      <c r="J79" s="86"/>
      <c r="K79" s="74"/>
      <c r="L79" s="61"/>
      <c r="M79" s="61"/>
      <c r="N79" s="61"/>
      <c r="O79" s="61">
        <f ca="1">工程建设其他费用计算表02表!E26</f>
        <v>0.3706373</v>
      </c>
      <c r="P79" s="61">
        <f ca="1" t="shared" si="35"/>
        <v>0.3706373</v>
      </c>
      <c r="Q79" s="74"/>
      <c r="R79" s="61"/>
      <c r="S79" s="61"/>
      <c r="T79" s="103"/>
    </row>
    <row r="80" s="41" customFormat="1" ht="23" customHeight="1" outlineLevel="1" spans="1:20">
      <c r="A80" s="104" t="s">
        <v>113</v>
      </c>
      <c r="B80" s="68" t="s">
        <v>114</v>
      </c>
      <c r="C80" s="74"/>
      <c r="D80" s="74"/>
      <c r="E80" s="74"/>
      <c r="F80" s="74">
        <v>3.61</v>
      </c>
      <c r="G80" s="74">
        <f t="shared" si="33"/>
        <v>3.61</v>
      </c>
      <c r="H80" s="74"/>
      <c r="I80" s="74"/>
      <c r="J80" s="86"/>
      <c r="K80" s="74"/>
      <c r="L80" s="61"/>
      <c r="M80" s="61"/>
      <c r="N80" s="61"/>
      <c r="O80" s="61">
        <f ca="1">工程建设其他费用计算表02表!E27</f>
        <v>5.1112</v>
      </c>
      <c r="P80" s="61">
        <f ca="1" t="shared" si="35"/>
        <v>5.1112</v>
      </c>
      <c r="Q80" s="74"/>
      <c r="R80" s="61"/>
      <c r="S80" s="61"/>
      <c r="T80" s="103"/>
    </row>
    <row r="81" s="41" customFormat="1" ht="23" customHeight="1" outlineLevel="1" spans="1:20">
      <c r="A81" s="104" t="s">
        <v>115</v>
      </c>
      <c r="B81" s="68" t="s">
        <v>116</v>
      </c>
      <c r="C81" s="74"/>
      <c r="D81" s="74"/>
      <c r="E81" s="74"/>
      <c r="F81" s="74">
        <v>19.01</v>
      </c>
      <c r="G81" s="74">
        <f t="shared" si="33"/>
        <v>19.01</v>
      </c>
      <c r="H81" s="74"/>
      <c r="I81" s="74"/>
      <c r="J81" s="86"/>
      <c r="K81" s="74"/>
      <c r="L81" s="61"/>
      <c r="M81" s="61"/>
      <c r="N81" s="61"/>
      <c r="O81" s="61">
        <f ca="1">工程建设其他费用计算表02表!E28</f>
        <v>19.13169</v>
      </c>
      <c r="P81" s="61">
        <f ca="1" t="shared" si="35"/>
        <v>19.13169</v>
      </c>
      <c r="Q81" s="74"/>
      <c r="R81" s="61"/>
      <c r="S81" s="61"/>
      <c r="T81" s="103"/>
    </row>
    <row r="82" s="41" customFormat="1" ht="23" customHeight="1" outlineLevel="1" spans="1:20">
      <c r="A82" s="104" t="s">
        <v>117</v>
      </c>
      <c r="B82" s="68" t="s">
        <v>118</v>
      </c>
      <c r="C82" s="74"/>
      <c r="D82" s="74"/>
      <c r="E82" s="74"/>
      <c r="F82" s="74">
        <v>25</v>
      </c>
      <c r="G82" s="74">
        <f t="shared" si="33"/>
        <v>25</v>
      </c>
      <c r="H82" s="74"/>
      <c r="I82" s="74"/>
      <c r="J82" s="86"/>
      <c r="K82" s="74"/>
      <c r="L82" s="61"/>
      <c r="M82" s="61"/>
      <c r="N82" s="61"/>
      <c r="O82" s="61">
        <f ca="1">工程建设其他费用计算表02表!E29</f>
        <v>33.6943</v>
      </c>
      <c r="P82" s="61">
        <f ca="1" t="shared" si="35"/>
        <v>33.6943</v>
      </c>
      <c r="Q82" s="74"/>
      <c r="R82" s="61"/>
      <c r="S82" s="61"/>
      <c r="T82" s="103"/>
    </row>
    <row r="83" s="41" customFormat="1" ht="23" customHeight="1" outlineLevel="1" spans="1:20">
      <c r="A83" s="104" t="s">
        <v>119</v>
      </c>
      <c r="B83" s="68" t="s">
        <v>120</v>
      </c>
      <c r="C83" s="74"/>
      <c r="D83" s="74"/>
      <c r="E83" s="74"/>
      <c r="F83" s="74">
        <v>6.17</v>
      </c>
      <c r="G83" s="74">
        <f t="shared" si="33"/>
        <v>6.17</v>
      </c>
      <c r="H83" s="74"/>
      <c r="I83" s="74"/>
      <c r="J83" s="86"/>
      <c r="K83" s="74"/>
      <c r="L83" s="61"/>
      <c r="M83" s="61"/>
      <c r="N83" s="61"/>
      <c r="O83" s="61">
        <f ca="1">工程建设其他费用计算表02表!E30</f>
        <v>6.107248</v>
      </c>
      <c r="P83" s="61">
        <f ca="1" t="shared" si="35"/>
        <v>6.107248</v>
      </c>
      <c r="Q83" s="74"/>
      <c r="R83" s="61"/>
      <c r="S83" s="61"/>
      <c r="T83" s="103"/>
    </row>
    <row r="84" ht="23" customHeight="1" outlineLevel="1" spans="1:20">
      <c r="A84" s="67"/>
      <c r="B84" s="69" t="s">
        <v>121</v>
      </c>
      <c r="C84" s="65"/>
      <c r="D84" s="66"/>
      <c r="E84" s="65"/>
      <c r="F84" s="65">
        <f>SUM(F69:F83,F66,F62,F58)</f>
        <v>641.48</v>
      </c>
      <c r="G84" s="65">
        <f t="shared" si="33"/>
        <v>641.48</v>
      </c>
      <c r="H84" s="65" t="s">
        <v>18</v>
      </c>
      <c r="I84" s="65">
        <v>6668</v>
      </c>
      <c r="J84" s="87">
        <f t="shared" ref="J84:J89" si="39">+G84/I84*10000</f>
        <v>962.027594481104</v>
      </c>
      <c r="K84" s="66"/>
      <c r="L84" s="65"/>
      <c r="M84" s="65"/>
      <c r="N84" s="65"/>
      <c r="O84" s="65">
        <f ca="1">工程建设其他费用计算表02表!E31</f>
        <v>499.476959715294</v>
      </c>
      <c r="P84" s="65">
        <f ca="1" t="shared" si="35"/>
        <v>499.476959715294</v>
      </c>
      <c r="Q84" s="65" t="s">
        <v>18</v>
      </c>
      <c r="R84" s="65">
        <f>R7</f>
        <v>6738.86</v>
      </c>
      <c r="S84" s="65">
        <f ca="1" t="shared" ref="S84:S89" si="40">+P84/R84*10000</f>
        <v>741.189102778948</v>
      </c>
      <c r="T84" s="98"/>
    </row>
    <row r="85" ht="23" customHeight="1" spans="1:20">
      <c r="A85" s="55" t="s">
        <v>122</v>
      </c>
      <c r="B85" s="105" t="s">
        <v>123</v>
      </c>
      <c r="C85" s="105"/>
      <c r="D85" s="57">
        <f>SUM(D86:D88)</f>
        <v>1507.7</v>
      </c>
      <c r="E85" s="105"/>
      <c r="F85" s="106"/>
      <c r="G85" s="106">
        <f t="shared" si="33"/>
        <v>1507.7</v>
      </c>
      <c r="H85" s="106"/>
      <c r="I85" s="57"/>
      <c r="J85" s="89"/>
      <c r="K85" s="105"/>
      <c r="L85" s="114"/>
      <c r="M85" s="57">
        <f>SUM(M86:M88)</f>
        <v>1507.7</v>
      </c>
      <c r="N85" s="114"/>
      <c r="O85" s="57"/>
      <c r="P85" s="57">
        <f t="shared" si="35"/>
        <v>1507.7</v>
      </c>
      <c r="Q85" s="106"/>
      <c r="R85" s="57"/>
      <c r="S85" s="57"/>
      <c r="T85" s="123"/>
    </row>
    <row r="86" s="42" customFormat="1" ht="23" customHeight="1" outlineLevel="1" spans="1:20">
      <c r="A86" s="107">
        <v>1</v>
      </c>
      <c r="B86" s="108" t="s">
        <v>124</v>
      </c>
      <c r="C86" s="108"/>
      <c r="D86" s="62">
        <v>28.2</v>
      </c>
      <c r="E86" s="108"/>
      <c r="F86" s="109"/>
      <c r="G86" s="62">
        <f t="shared" si="33"/>
        <v>28.2</v>
      </c>
      <c r="H86" s="109" t="s">
        <v>51</v>
      </c>
      <c r="I86" s="109">
        <v>1</v>
      </c>
      <c r="J86" s="115">
        <f t="shared" si="39"/>
        <v>282000</v>
      </c>
      <c r="K86" s="108"/>
      <c r="L86" s="116"/>
      <c r="M86" s="62">
        <v>28.2</v>
      </c>
      <c r="N86" s="116"/>
      <c r="O86" s="62"/>
      <c r="P86" s="62">
        <f t="shared" si="35"/>
        <v>28.2</v>
      </c>
      <c r="Q86" s="109" t="s">
        <v>51</v>
      </c>
      <c r="R86" s="62">
        <v>1</v>
      </c>
      <c r="S86" s="124">
        <f t="shared" si="40"/>
        <v>282000</v>
      </c>
      <c r="T86" s="125"/>
    </row>
    <row r="87" s="42" customFormat="1" ht="23" customHeight="1" outlineLevel="1" spans="1:20">
      <c r="A87" s="107">
        <v>2</v>
      </c>
      <c r="B87" s="108" t="s">
        <v>125</v>
      </c>
      <c r="C87" s="108"/>
      <c r="D87" s="62">
        <v>125</v>
      </c>
      <c r="E87" s="108"/>
      <c r="F87" s="108"/>
      <c r="G87" s="62">
        <f t="shared" si="33"/>
        <v>125</v>
      </c>
      <c r="H87" s="109" t="s">
        <v>51</v>
      </c>
      <c r="I87" s="109">
        <v>1</v>
      </c>
      <c r="J87" s="115">
        <f t="shared" si="39"/>
        <v>1250000</v>
      </c>
      <c r="K87" s="108"/>
      <c r="L87" s="116"/>
      <c r="M87" s="62">
        <v>125</v>
      </c>
      <c r="N87" s="116"/>
      <c r="O87" s="116"/>
      <c r="P87" s="62">
        <f t="shared" si="35"/>
        <v>125</v>
      </c>
      <c r="Q87" s="109" t="s">
        <v>51</v>
      </c>
      <c r="R87" s="62">
        <v>1</v>
      </c>
      <c r="S87" s="124">
        <f t="shared" si="40"/>
        <v>1250000</v>
      </c>
      <c r="T87" s="125"/>
    </row>
    <row r="88" s="42" customFormat="1" ht="23" customHeight="1" outlineLevel="1" spans="1:20">
      <c r="A88" s="107">
        <v>3</v>
      </c>
      <c r="B88" s="108" t="s">
        <v>126</v>
      </c>
      <c r="C88" s="108"/>
      <c r="D88" s="62">
        <v>1354.5</v>
      </c>
      <c r="E88" s="108"/>
      <c r="F88" s="108"/>
      <c r="G88" s="62">
        <f t="shared" si="33"/>
        <v>1354.5</v>
      </c>
      <c r="H88" s="109" t="s">
        <v>51</v>
      </c>
      <c r="I88" s="109">
        <v>1</v>
      </c>
      <c r="J88" s="115">
        <f t="shared" si="39"/>
        <v>13545000</v>
      </c>
      <c r="K88" s="108"/>
      <c r="L88" s="116"/>
      <c r="M88" s="62">
        <v>1354.5</v>
      </c>
      <c r="N88" s="116"/>
      <c r="O88" s="116"/>
      <c r="P88" s="62">
        <f t="shared" si="35"/>
        <v>1354.5</v>
      </c>
      <c r="Q88" s="109" t="s">
        <v>51</v>
      </c>
      <c r="R88" s="62">
        <v>1</v>
      </c>
      <c r="S88" s="124">
        <f t="shared" si="40"/>
        <v>13545000</v>
      </c>
      <c r="T88" s="125"/>
    </row>
    <row r="89" ht="23" customHeight="1" spans="1:20">
      <c r="A89" s="55" t="s">
        <v>127</v>
      </c>
      <c r="B89" s="105" t="s">
        <v>128</v>
      </c>
      <c r="C89" s="105"/>
      <c r="D89" s="105"/>
      <c r="E89" s="105"/>
      <c r="F89" s="106">
        <f>SUM(F90:F90)</f>
        <v>326.75</v>
      </c>
      <c r="G89" s="106">
        <f t="shared" si="33"/>
        <v>326.75</v>
      </c>
      <c r="H89" s="106" t="s">
        <v>18</v>
      </c>
      <c r="I89" s="57">
        <v>6668</v>
      </c>
      <c r="J89" s="89">
        <f t="shared" si="39"/>
        <v>490.02699460108</v>
      </c>
      <c r="K89" s="105"/>
      <c r="L89" s="114"/>
      <c r="M89" s="57"/>
      <c r="N89" s="114"/>
      <c r="O89" s="57">
        <f ca="1">SUM(O90:O90)</f>
        <v>190.398294502059</v>
      </c>
      <c r="P89" s="57">
        <f ca="1" t="shared" si="35"/>
        <v>190.398294502059</v>
      </c>
      <c r="Q89" s="106" t="s">
        <v>18</v>
      </c>
      <c r="R89" s="57">
        <f>+R84</f>
        <v>6738.86</v>
      </c>
      <c r="S89" s="57">
        <f ca="1" t="shared" si="40"/>
        <v>282.537839489259</v>
      </c>
      <c r="T89" s="123"/>
    </row>
    <row r="90" s="41" customFormat="1" ht="31" customHeight="1" outlineLevel="1" spans="1:20">
      <c r="A90" s="107">
        <v>1</v>
      </c>
      <c r="B90" s="108" t="s">
        <v>129</v>
      </c>
      <c r="C90" s="108"/>
      <c r="D90" s="108"/>
      <c r="E90" s="108"/>
      <c r="F90" s="109">
        <v>326.75</v>
      </c>
      <c r="G90" s="109">
        <f t="shared" si="33"/>
        <v>326.75</v>
      </c>
      <c r="H90" s="109" t="s">
        <v>130</v>
      </c>
      <c r="I90" s="109"/>
      <c r="J90" s="130"/>
      <c r="K90" s="109"/>
      <c r="L90" s="116"/>
      <c r="M90" s="62"/>
      <c r="N90" s="116"/>
      <c r="O90" s="62">
        <f ca="1">+(P84+P7+P85-P58)*0.03</f>
        <v>190.398294502059</v>
      </c>
      <c r="P90" s="62">
        <f ca="1" t="shared" si="35"/>
        <v>190.398294502059</v>
      </c>
      <c r="Q90" s="110" t="s">
        <v>131</v>
      </c>
      <c r="R90" s="62"/>
      <c r="S90" s="62"/>
      <c r="T90" s="126"/>
    </row>
    <row r="91" ht="23" customHeight="1" spans="1:20">
      <c r="A91" s="55" t="s">
        <v>132</v>
      </c>
      <c r="B91" s="105" t="s">
        <v>133</v>
      </c>
      <c r="C91" s="106">
        <f t="shared" ref="C91:G91" si="41">C7+C57+C85+C89</f>
        <v>2942.98</v>
      </c>
      <c r="D91" s="106">
        <f t="shared" si="41"/>
        <v>2216.94</v>
      </c>
      <c r="E91" s="106">
        <f t="shared" si="41"/>
        <v>756.44</v>
      </c>
      <c r="F91" s="106">
        <f t="shared" si="41"/>
        <v>968.23</v>
      </c>
      <c r="G91" s="106">
        <f t="shared" si="41"/>
        <v>6884.59</v>
      </c>
      <c r="H91" s="106" t="s">
        <v>18</v>
      </c>
      <c r="I91" s="57">
        <v>6668</v>
      </c>
      <c r="J91" s="89">
        <f>+G91/I91*10000</f>
        <v>10324.8200359928</v>
      </c>
      <c r="K91" s="105"/>
      <c r="L91" s="57">
        <f t="shared" ref="L91:P91" si="42">L7+L57+L85+L89</f>
        <v>2697.5655</v>
      </c>
      <c r="M91" s="57">
        <f t="shared" si="42"/>
        <v>2007.8412</v>
      </c>
      <c r="N91" s="57">
        <f t="shared" si="42"/>
        <v>1164.6122</v>
      </c>
      <c r="O91" s="57">
        <f ca="1" t="shared" si="42"/>
        <v>689.875254217353</v>
      </c>
      <c r="P91" s="57">
        <f ca="1" t="shared" si="42"/>
        <v>6559.89415421735</v>
      </c>
      <c r="Q91" s="57" t="s">
        <v>18</v>
      </c>
      <c r="R91" s="57">
        <f>+R89</f>
        <v>6738.86</v>
      </c>
      <c r="S91" s="57">
        <f ca="1">+P91/R91*10000</f>
        <v>9734.42712004308</v>
      </c>
      <c r="T91" s="123"/>
    </row>
    <row r="92" ht="23" customHeight="1" spans="1:20">
      <c r="A92" s="55" t="s">
        <v>134</v>
      </c>
      <c r="B92" s="105" t="s">
        <v>135</v>
      </c>
      <c r="C92" s="105"/>
      <c r="D92" s="105"/>
      <c r="E92" s="105"/>
      <c r="F92" s="106">
        <v>289.23</v>
      </c>
      <c r="G92" s="106">
        <f>SUM(C92:F92)</f>
        <v>289.23</v>
      </c>
      <c r="H92" s="105"/>
      <c r="I92" s="105"/>
      <c r="J92" s="118"/>
      <c r="K92" s="105"/>
      <c r="L92" s="114"/>
      <c r="M92" s="57"/>
      <c r="N92" s="114"/>
      <c r="O92" s="57">
        <v>289.23</v>
      </c>
      <c r="P92" s="119">
        <f>SUM(L92:O92)</f>
        <v>289.23</v>
      </c>
      <c r="Q92" s="114"/>
      <c r="R92" s="114"/>
      <c r="S92" s="114"/>
      <c r="T92" s="123"/>
    </row>
    <row r="93" ht="23" customHeight="1" spans="1:20">
      <c r="A93" s="111" t="s">
        <v>136</v>
      </c>
      <c r="B93" s="112" t="s">
        <v>137</v>
      </c>
      <c r="C93" s="113">
        <f t="shared" ref="C93:G93" si="43">+C91+C92</f>
        <v>2942.98</v>
      </c>
      <c r="D93" s="113">
        <f t="shared" si="43"/>
        <v>2216.94</v>
      </c>
      <c r="E93" s="113">
        <f t="shared" si="43"/>
        <v>756.44</v>
      </c>
      <c r="F93" s="113">
        <f t="shared" si="43"/>
        <v>1257.46</v>
      </c>
      <c r="G93" s="113">
        <f t="shared" si="43"/>
        <v>7173.82</v>
      </c>
      <c r="H93" s="113" t="s">
        <v>18</v>
      </c>
      <c r="I93" s="57">
        <v>6668</v>
      </c>
      <c r="J93" s="120">
        <f>+G93/I93*10000</f>
        <v>10758.5782843431</v>
      </c>
      <c r="K93" s="112"/>
      <c r="L93" s="121">
        <f t="shared" ref="L93:P93" si="44">+L91+L92</f>
        <v>2697.5655</v>
      </c>
      <c r="M93" s="121">
        <f t="shared" si="44"/>
        <v>2007.8412</v>
      </c>
      <c r="N93" s="121">
        <f t="shared" si="44"/>
        <v>1164.6122</v>
      </c>
      <c r="O93" s="121">
        <f ca="1" t="shared" si="44"/>
        <v>979.105254217353</v>
      </c>
      <c r="P93" s="122">
        <f ca="1" t="shared" si="44"/>
        <v>6849.12415421735</v>
      </c>
      <c r="Q93" s="121" t="s">
        <v>18</v>
      </c>
      <c r="R93" s="121">
        <f>+R89</f>
        <v>6738.86</v>
      </c>
      <c r="S93" s="121">
        <f ca="1">+P93/R93*10000</f>
        <v>10163.6243433123</v>
      </c>
      <c r="T93" s="127"/>
    </row>
    <row r="95" s="2" customFormat="1" spans="2:19">
      <c r="B95" s="128" t="s">
        <v>218</v>
      </c>
      <c r="C95" s="129"/>
      <c r="D95" s="129"/>
      <c r="E95" s="129"/>
      <c r="F95" s="129"/>
      <c r="G95" s="129"/>
      <c r="J95" s="131"/>
      <c r="L95" s="132"/>
      <c r="M95" s="132"/>
      <c r="N95" s="132"/>
      <c r="O95" s="132"/>
      <c r="P95" s="132"/>
      <c r="R95" s="132"/>
      <c r="S95" s="132"/>
    </row>
    <row r="96" spans="2:7">
      <c r="B96" s="129"/>
      <c r="C96" s="129"/>
      <c r="D96" s="129"/>
      <c r="E96" s="129"/>
      <c r="F96" s="129"/>
      <c r="G96" s="129"/>
    </row>
    <row r="97" spans="2:7">
      <c r="B97" s="129"/>
      <c r="C97" s="129"/>
      <c r="D97" s="129"/>
      <c r="E97" s="129"/>
      <c r="F97" s="129"/>
      <c r="G97" s="129"/>
    </row>
    <row r="98" spans="2:7">
      <c r="B98" s="129"/>
      <c r="C98" s="129"/>
      <c r="D98" s="129"/>
      <c r="E98" s="129"/>
      <c r="F98" s="129"/>
      <c r="G98" s="129"/>
    </row>
    <row r="99" spans="2:7">
      <c r="B99" s="129"/>
      <c r="C99" s="129"/>
      <c r="D99" s="129"/>
      <c r="E99" s="129"/>
      <c r="F99" s="129"/>
      <c r="G99" s="129"/>
    </row>
    <row r="100" spans="2:7">
      <c r="B100" s="129"/>
      <c r="C100" s="129"/>
      <c r="D100" s="129"/>
      <c r="E100" s="129"/>
      <c r="F100" s="129"/>
      <c r="G100" s="129"/>
    </row>
    <row r="101" ht="37" customHeight="1" spans="2:7">
      <c r="B101" s="129"/>
      <c r="C101" s="129"/>
      <c r="D101" s="129"/>
      <c r="E101" s="129"/>
      <c r="F101" s="129"/>
      <c r="G101" s="129"/>
    </row>
  </sheetData>
  <sheetProtection formatCells="0" insertHyperlinks="0" autoFilter="0"/>
  <autoFilter xmlns:etc="http://www.wps.cn/officeDocument/2017/etCustomData" ref="A5:T93" etc:filterBottomFollowUsedRange="0">
    <extLst/>
  </autoFilter>
  <mergeCells count="13">
    <mergeCell ref="A2:T2"/>
    <mergeCell ref="A3:T3"/>
    <mergeCell ref="C4:G4"/>
    <mergeCell ref="H4:J4"/>
    <mergeCell ref="L4:P4"/>
    <mergeCell ref="Q4:S4"/>
    <mergeCell ref="H90:K90"/>
    <mergeCell ref="Q90:T90"/>
    <mergeCell ref="A4:A5"/>
    <mergeCell ref="B4:B5"/>
    <mergeCell ref="K4:K5"/>
    <mergeCell ref="T4:T5"/>
    <mergeCell ref="B95:G10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T93"/>
  <sheetViews>
    <sheetView zoomScale="90" zoomScaleNormal="90" workbookViewId="0">
      <pane xSplit="2" ySplit="6" topLeftCell="C45" activePane="bottomRight" state="frozen"/>
      <selection/>
      <selection pane="topRight"/>
      <selection pane="bottomLeft"/>
      <selection pane="bottomRight" activeCell="Q90" sqref="Q90:T90"/>
    </sheetView>
  </sheetViews>
  <sheetFormatPr defaultColWidth="9" defaultRowHeight="13.5"/>
  <cols>
    <col min="1" max="1" width="6.625" style="1" customWidth="1"/>
    <col min="2" max="2" width="26.3666666666667" style="1" customWidth="1"/>
    <col min="3" max="7" width="10.125" style="1" hidden="1" customWidth="1" outlineLevel="1"/>
    <col min="8" max="8" width="7.88333333333333" style="1" customWidth="1" outlineLevel="1"/>
    <col min="9" max="9" width="14.1333333333333" style="1" customWidth="1" outlineLevel="1"/>
    <col min="10" max="10" width="13.025" style="28" customWidth="1" outlineLevel="1"/>
    <col min="11" max="11" width="10.7583333333333" style="1" customWidth="1" outlineLevel="1"/>
    <col min="12" max="16" width="10.125" style="31" hidden="1" customWidth="1"/>
    <col min="17" max="17" width="6.86666666666667" style="1" customWidth="1"/>
    <col min="18" max="18" width="15.1416666666667" style="31" customWidth="1"/>
    <col min="19" max="19" width="15.8583333333333" style="31" customWidth="1"/>
    <col min="20" max="20" width="12.2833333333333" style="1" customWidth="1"/>
    <col min="21" max="21" width="9" style="1"/>
    <col min="22" max="22" width="14.125" style="1"/>
    <col min="23" max="16384" width="9" style="1"/>
  </cols>
  <sheetData>
    <row r="1" s="1" customFormat="1" ht="30" customHeight="1" spans="1:10">
      <c r="A1" s="3" t="s">
        <v>219</v>
      </c>
      <c r="B1" s="43"/>
      <c r="J1" s="28"/>
    </row>
    <row r="2" s="1" customFormat="1" ht="30" customHeight="1" spans="1:20">
      <c r="A2" s="32" t="s">
        <v>220</v>
      </c>
      <c r="B2" s="44"/>
      <c r="C2" s="45"/>
      <c r="D2" s="45"/>
      <c r="E2" s="45"/>
      <c r="F2" s="45"/>
      <c r="G2" s="45"/>
      <c r="H2" s="45"/>
      <c r="I2" s="45"/>
      <c r="J2" s="7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ht="20" customHeight="1" spans="1:20">
      <c r="A3" s="46" t="s">
        <v>217</v>
      </c>
      <c r="B3" s="47"/>
      <c r="C3" s="47"/>
      <c r="D3" s="47"/>
      <c r="E3" s="47"/>
      <c r="F3" s="47"/>
      <c r="G3" s="47"/>
      <c r="H3" s="47"/>
      <c r="I3" s="47"/>
      <c r="J3" s="76"/>
      <c r="K3" s="47"/>
      <c r="L3" s="77"/>
      <c r="M3" s="77"/>
      <c r="N3" s="77"/>
      <c r="O3" s="77"/>
      <c r="P3" s="77"/>
      <c r="Q3" s="47"/>
      <c r="R3" s="77"/>
      <c r="S3" s="77"/>
      <c r="T3" s="47"/>
    </row>
    <row r="4" ht="21" customHeight="1" spans="1:20">
      <c r="A4" s="48" t="s">
        <v>2</v>
      </c>
      <c r="B4" s="49" t="s">
        <v>3</v>
      </c>
      <c r="C4" s="49" t="s">
        <v>4</v>
      </c>
      <c r="D4" s="49"/>
      <c r="E4" s="49"/>
      <c r="F4" s="49"/>
      <c r="G4" s="49"/>
      <c r="H4" s="49" t="s">
        <v>5</v>
      </c>
      <c r="I4" s="49"/>
      <c r="J4" s="78"/>
      <c r="K4" s="49" t="s">
        <v>6</v>
      </c>
      <c r="L4" s="79" t="s">
        <v>7</v>
      </c>
      <c r="M4" s="79"/>
      <c r="N4" s="79"/>
      <c r="O4" s="79"/>
      <c r="P4" s="79"/>
      <c r="Q4" s="49" t="s">
        <v>5</v>
      </c>
      <c r="R4" s="79"/>
      <c r="S4" s="79"/>
      <c r="T4" s="92" t="s">
        <v>6</v>
      </c>
    </row>
    <row r="5" ht="34" customHeight="1" spans="1:20">
      <c r="A5" s="50"/>
      <c r="B5" s="51"/>
      <c r="C5" s="52" t="s">
        <v>8</v>
      </c>
      <c r="D5" s="52" t="s">
        <v>9</v>
      </c>
      <c r="E5" s="52" t="s">
        <v>10</v>
      </c>
      <c r="F5" s="52" t="s">
        <v>11</v>
      </c>
      <c r="G5" s="51" t="s">
        <v>12</v>
      </c>
      <c r="H5" s="52" t="s">
        <v>13</v>
      </c>
      <c r="I5" s="51" t="s">
        <v>14</v>
      </c>
      <c r="J5" s="80" t="s">
        <v>15</v>
      </c>
      <c r="K5" s="51"/>
      <c r="L5" s="81" t="s">
        <v>8</v>
      </c>
      <c r="M5" s="81" t="s">
        <v>9</v>
      </c>
      <c r="N5" s="81" t="s">
        <v>10</v>
      </c>
      <c r="O5" s="81" t="s">
        <v>11</v>
      </c>
      <c r="P5" s="82" t="s">
        <v>12</v>
      </c>
      <c r="Q5" s="52" t="s">
        <v>13</v>
      </c>
      <c r="R5" s="82" t="s">
        <v>14</v>
      </c>
      <c r="S5" s="81" t="s">
        <v>15</v>
      </c>
      <c r="T5" s="93"/>
    </row>
    <row r="6" s="40" customFormat="1" ht="18" hidden="1" customHeight="1" spans="1:20">
      <c r="A6" s="53">
        <v>1</v>
      </c>
      <c r="B6" s="54">
        <v>2</v>
      </c>
      <c r="C6" s="54">
        <v>3</v>
      </c>
      <c r="D6" s="54">
        <v>4</v>
      </c>
      <c r="E6" s="54">
        <v>5</v>
      </c>
      <c r="F6" s="54">
        <v>6</v>
      </c>
      <c r="G6" s="54">
        <v>7</v>
      </c>
      <c r="H6" s="54">
        <v>8</v>
      </c>
      <c r="I6" s="54">
        <v>9</v>
      </c>
      <c r="J6" s="83">
        <v>10</v>
      </c>
      <c r="K6" s="54">
        <v>11</v>
      </c>
      <c r="L6" s="84">
        <v>3</v>
      </c>
      <c r="M6" s="84">
        <v>4</v>
      </c>
      <c r="N6" s="84">
        <v>5</v>
      </c>
      <c r="O6" s="84">
        <v>6</v>
      </c>
      <c r="P6" s="84">
        <v>7</v>
      </c>
      <c r="Q6" s="54">
        <v>8</v>
      </c>
      <c r="R6" s="84">
        <v>9</v>
      </c>
      <c r="S6" s="84">
        <v>10</v>
      </c>
      <c r="T6" s="94">
        <v>11</v>
      </c>
    </row>
    <row r="7" s="40" customFormat="1" ht="23" customHeight="1" spans="1:20">
      <c r="A7" s="55" t="s">
        <v>16</v>
      </c>
      <c r="B7" s="56" t="s">
        <v>17</v>
      </c>
      <c r="C7" s="57">
        <f t="shared" ref="C7:G7" si="0">C56+C52+C43+C32+C20</f>
        <v>2942.98</v>
      </c>
      <c r="D7" s="57">
        <f t="shared" si="0"/>
        <v>709.24</v>
      </c>
      <c r="E7" s="57">
        <f t="shared" si="0"/>
        <v>756.44</v>
      </c>
      <c r="F7" s="57">
        <f t="shared" si="0"/>
        <v>0</v>
      </c>
      <c r="G7" s="57">
        <f t="shared" si="0"/>
        <v>4408.66</v>
      </c>
      <c r="H7" s="57" t="s">
        <v>18</v>
      </c>
      <c r="I7" s="57">
        <v>6668</v>
      </c>
      <c r="J7" s="57">
        <f t="shared" ref="J7:J20" si="1">+G7/I7*10000</f>
        <v>6611.66766646671</v>
      </c>
      <c r="K7" s="57"/>
      <c r="L7" s="57">
        <f t="shared" ref="L7:P7" si="2">L56+L52+L43+L32+L20</f>
        <v>2697.5655</v>
      </c>
      <c r="M7" s="57">
        <f t="shared" si="2"/>
        <v>500.1412</v>
      </c>
      <c r="N7" s="57">
        <f t="shared" si="2"/>
        <v>1164.6122</v>
      </c>
      <c r="O7" s="57">
        <f t="shared" si="2"/>
        <v>0</v>
      </c>
      <c r="P7" s="57">
        <f t="shared" si="2"/>
        <v>4362.3189</v>
      </c>
      <c r="Q7" s="57" t="s">
        <v>18</v>
      </c>
      <c r="R7" s="57">
        <v>6738.86</v>
      </c>
      <c r="S7" s="57">
        <f t="shared" ref="S7:S20" si="3">+P7/R7*10000</f>
        <v>6473.37813814206</v>
      </c>
      <c r="T7" s="95"/>
    </row>
    <row r="8" ht="23" customHeight="1" outlineLevel="1" spans="1:20">
      <c r="A8" s="55" t="s">
        <v>19</v>
      </c>
      <c r="B8" s="56" t="s">
        <v>20</v>
      </c>
      <c r="C8" s="58"/>
      <c r="D8" s="58"/>
      <c r="E8" s="58"/>
      <c r="F8" s="58"/>
      <c r="G8" s="58"/>
      <c r="H8" s="58"/>
      <c r="I8" s="58"/>
      <c r="J8" s="85"/>
      <c r="K8" s="58"/>
      <c r="L8" s="58"/>
      <c r="M8" s="58"/>
      <c r="N8" s="58"/>
      <c r="O8" s="58"/>
      <c r="P8" s="58"/>
      <c r="Q8" s="58"/>
      <c r="R8" s="58"/>
      <c r="S8" s="58"/>
      <c r="T8" s="95"/>
    </row>
    <row r="9" s="41" customFormat="1" ht="23" customHeight="1" outlineLevel="2" spans="1:20">
      <c r="A9" s="59">
        <v>1</v>
      </c>
      <c r="B9" s="60" t="s">
        <v>21</v>
      </c>
      <c r="C9" s="61">
        <v>0</v>
      </c>
      <c r="D9" s="61"/>
      <c r="E9" s="61"/>
      <c r="F9" s="61"/>
      <c r="G9" s="61">
        <f t="shared" ref="G9:G19" si="4">SUM(C9:F9)</f>
        <v>0</v>
      </c>
      <c r="H9" s="62" t="s">
        <v>18</v>
      </c>
      <c r="I9" s="61">
        <v>6317</v>
      </c>
      <c r="J9" s="86">
        <f t="shared" si="1"/>
        <v>0</v>
      </c>
      <c r="K9" s="61"/>
      <c r="L9" s="61">
        <v>34.04</v>
      </c>
      <c r="M9" s="61"/>
      <c r="N9" s="61"/>
      <c r="O9" s="61"/>
      <c r="P9" s="61">
        <f t="shared" ref="P9:P19" si="5">SUM(L9:O9)</f>
        <v>34.04</v>
      </c>
      <c r="Q9" s="62" t="str">
        <f t="shared" ref="Q9:Q20" si="6">H9</f>
        <v>m²</v>
      </c>
      <c r="R9" s="61">
        <v>6377.23</v>
      </c>
      <c r="S9" s="61">
        <f t="shared" si="3"/>
        <v>53.377406805149</v>
      </c>
      <c r="T9" s="96"/>
    </row>
    <row r="10" s="41" customFormat="1" ht="23" customHeight="1" outlineLevel="2" spans="1:20">
      <c r="A10" s="59">
        <v>2</v>
      </c>
      <c r="B10" s="60" t="s">
        <v>22</v>
      </c>
      <c r="C10" s="61">
        <v>821.21</v>
      </c>
      <c r="D10" s="61"/>
      <c r="E10" s="61"/>
      <c r="F10" s="61"/>
      <c r="G10" s="61">
        <f t="shared" si="4"/>
        <v>821.21</v>
      </c>
      <c r="H10" s="62" t="s">
        <v>18</v>
      </c>
      <c r="I10" s="61">
        <v>6317</v>
      </c>
      <c r="J10" s="86">
        <f t="shared" si="1"/>
        <v>1300</v>
      </c>
      <c r="K10" s="61"/>
      <c r="L10" s="61">
        <f>1007.92+3.286</f>
        <v>1011.206</v>
      </c>
      <c r="M10" s="61"/>
      <c r="N10" s="61"/>
      <c r="O10" s="61"/>
      <c r="P10" s="61">
        <f t="shared" si="5"/>
        <v>1011.206</v>
      </c>
      <c r="Q10" s="62" t="str">
        <f t="shared" si="6"/>
        <v>m²</v>
      </c>
      <c r="R10" s="61">
        <v>6377.23</v>
      </c>
      <c r="S10" s="61">
        <f t="shared" si="3"/>
        <v>1585.65082331984</v>
      </c>
      <c r="T10" s="96"/>
    </row>
    <row r="11" s="41" customFormat="1" ht="23" customHeight="1" outlineLevel="2" spans="1:20">
      <c r="A11" s="59">
        <v>3</v>
      </c>
      <c r="B11" s="60" t="s">
        <v>23</v>
      </c>
      <c r="C11" s="61">
        <v>442.19</v>
      </c>
      <c r="D11" s="61"/>
      <c r="E11" s="61"/>
      <c r="F11" s="61"/>
      <c r="G11" s="61">
        <f t="shared" si="4"/>
        <v>442.19</v>
      </c>
      <c r="H11" s="62" t="s">
        <v>18</v>
      </c>
      <c r="I11" s="61">
        <v>6317</v>
      </c>
      <c r="J11" s="86">
        <f t="shared" si="1"/>
        <v>700</v>
      </c>
      <c r="K11" s="61"/>
      <c r="L11" s="61">
        <v>389.13</v>
      </c>
      <c r="M11" s="61"/>
      <c r="N11" s="61"/>
      <c r="O11" s="61"/>
      <c r="P11" s="61">
        <f t="shared" si="5"/>
        <v>389.13</v>
      </c>
      <c r="Q11" s="62" t="str">
        <f t="shared" si="6"/>
        <v>m²</v>
      </c>
      <c r="R11" s="61">
        <f t="shared" ref="R11:R20" si="7">R10</f>
        <v>6377.23</v>
      </c>
      <c r="S11" s="61">
        <f t="shared" si="3"/>
        <v>610.1865543504</v>
      </c>
      <c r="T11" s="96" t="s">
        <v>24</v>
      </c>
    </row>
    <row r="12" s="41" customFormat="1" ht="23" customHeight="1" outlineLevel="2" spans="1:20">
      <c r="A12" s="59">
        <v>4</v>
      </c>
      <c r="B12" s="60" t="s">
        <v>25</v>
      </c>
      <c r="C12" s="61">
        <v>631.7</v>
      </c>
      <c r="D12" s="61"/>
      <c r="E12" s="61"/>
      <c r="F12" s="61"/>
      <c r="G12" s="61">
        <f t="shared" si="4"/>
        <v>631.7</v>
      </c>
      <c r="H12" s="62" t="s">
        <v>18</v>
      </c>
      <c r="I12" s="61">
        <v>6317</v>
      </c>
      <c r="J12" s="86">
        <f t="shared" si="1"/>
        <v>1000</v>
      </c>
      <c r="K12" s="61"/>
      <c r="L12" s="61">
        <v>807.025</v>
      </c>
      <c r="M12" s="61"/>
      <c r="N12" s="61"/>
      <c r="O12" s="61"/>
      <c r="P12" s="61">
        <f t="shared" si="5"/>
        <v>807.025</v>
      </c>
      <c r="Q12" s="62" t="str">
        <f t="shared" si="6"/>
        <v>m²</v>
      </c>
      <c r="R12" s="61">
        <f t="shared" si="7"/>
        <v>6377.23</v>
      </c>
      <c r="S12" s="61">
        <f t="shared" si="3"/>
        <v>1265.47889914587</v>
      </c>
      <c r="T12" s="96"/>
    </row>
    <row r="13" s="41" customFormat="1" ht="23" customHeight="1" outlineLevel="2" spans="1:20">
      <c r="A13" s="59">
        <v>5</v>
      </c>
      <c r="B13" s="60" t="s">
        <v>26</v>
      </c>
      <c r="C13" s="61"/>
      <c r="D13" s="61">
        <v>7.9</v>
      </c>
      <c r="E13" s="61">
        <v>150.03</v>
      </c>
      <c r="F13" s="61"/>
      <c r="G13" s="61">
        <f t="shared" si="4"/>
        <v>157.93</v>
      </c>
      <c r="H13" s="62" t="s">
        <v>18</v>
      </c>
      <c r="I13" s="61">
        <v>6317</v>
      </c>
      <c r="J13" s="86">
        <f t="shared" si="1"/>
        <v>250.007915149596</v>
      </c>
      <c r="K13" s="61"/>
      <c r="L13" s="61"/>
      <c r="M13" s="61"/>
      <c r="N13" s="61">
        <v>174.9403</v>
      </c>
      <c r="O13" s="61"/>
      <c r="P13" s="61">
        <f t="shared" si="5"/>
        <v>174.9403</v>
      </c>
      <c r="Q13" s="62" t="str">
        <f t="shared" si="6"/>
        <v>m²</v>
      </c>
      <c r="R13" s="61">
        <f t="shared" si="7"/>
        <v>6377.23</v>
      </c>
      <c r="S13" s="61">
        <f t="shared" si="3"/>
        <v>274.320198581516</v>
      </c>
      <c r="T13" s="96"/>
    </row>
    <row r="14" s="41" customFormat="1" ht="23" customHeight="1" outlineLevel="2" spans="1:20">
      <c r="A14" s="59">
        <v>6</v>
      </c>
      <c r="B14" s="60" t="s">
        <v>27</v>
      </c>
      <c r="C14" s="61"/>
      <c r="D14" s="61">
        <v>39.8</v>
      </c>
      <c r="E14" s="61">
        <v>73.91</v>
      </c>
      <c r="F14" s="61"/>
      <c r="G14" s="61">
        <f t="shared" si="4"/>
        <v>113.71</v>
      </c>
      <c r="H14" s="62" t="s">
        <v>18</v>
      </c>
      <c r="I14" s="61">
        <v>6317</v>
      </c>
      <c r="J14" s="86">
        <f t="shared" si="1"/>
        <v>180.006332119677</v>
      </c>
      <c r="K14" s="61"/>
      <c r="L14" s="61"/>
      <c r="M14" s="61">
        <v>7.2262</v>
      </c>
      <c r="N14" s="61">
        <v>105.4217</v>
      </c>
      <c r="O14" s="61"/>
      <c r="P14" s="61">
        <f t="shared" si="5"/>
        <v>112.6479</v>
      </c>
      <c r="Q14" s="62" t="str">
        <f t="shared" si="6"/>
        <v>m²</v>
      </c>
      <c r="R14" s="61">
        <f t="shared" si="7"/>
        <v>6377.23</v>
      </c>
      <c r="S14" s="61">
        <f t="shared" si="3"/>
        <v>176.640798591238</v>
      </c>
      <c r="T14" s="96"/>
    </row>
    <row r="15" s="41" customFormat="1" ht="23" customHeight="1" outlineLevel="2" spans="1:20">
      <c r="A15" s="59">
        <v>7</v>
      </c>
      <c r="B15" s="60" t="s">
        <v>28</v>
      </c>
      <c r="C15" s="61"/>
      <c r="D15" s="61">
        <v>0</v>
      </c>
      <c r="E15" s="61">
        <v>113.71</v>
      </c>
      <c r="F15" s="61"/>
      <c r="G15" s="61">
        <f t="shared" si="4"/>
        <v>113.71</v>
      </c>
      <c r="H15" s="62" t="s">
        <v>18</v>
      </c>
      <c r="I15" s="61">
        <v>6317</v>
      </c>
      <c r="J15" s="86">
        <f t="shared" si="1"/>
        <v>180.006332119677</v>
      </c>
      <c r="K15" s="61"/>
      <c r="L15" s="61"/>
      <c r="M15" s="61"/>
      <c r="N15" s="61">
        <v>105.8956</v>
      </c>
      <c r="O15" s="61"/>
      <c r="P15" s="61">
        <f t="shared" si="5"/>
        <v>105.8956</v>
      </c>
      <c r="Q15" s="62" t="str">
        <f t="shared" si="6"/>
        <v>m²</v>
      </c>
      <c r="R15" s="61">
        <f t="shared" si="7"/>
        <v>6377.23</v>
      </c>
      <c r="S15" s="61">
        <f t="shared" si="3"/>
        <v>166.052659226655</v>
      </c>
      <c r="T15" s="96"/>
    </row>
    <row r="16" s="41" customFormat="1" ht="23" customHeight="1" outlineLevel="2" spans="1:20">
      <c r="A16" s="59">
        <v>8</v>
      </c>
      <c r="B16" s="60" t="s">
        <v>29</v>
      </c>
      <c r="C16" s="61"/>
      <c r="D16" s="61">
        <v>11.37</v>
      </c>
      <c r="E16" s="61">
        <v>45.48</v>
      </c>
      <c r="F16" s="61"/>
      <c r="G16" s="61">
        <f t="shared" si="4"/>
        <v>56.85</v>
      </c>
      <c r="H16" s="62" t="s">
        <v>18</v>
      </c>
      <c r="I16" s="61">
        <v>6317</v>
      </c>
      <c r="J16" s="86">
        <f t="shared" si="1"/>
        <v>89.9952509102422</v>
      </c>
      <c r="K16" s="61"/>
      <c r="L16" s="61"/>
      <c r="M16" s="61">
        <v>6.7056</v>
      </c>
      <c r="N16" s="61">
        <v>64.7716</v>
      </c>
      <c r="O16" s="61"/>
      <c r="P16" s="61">
        <f t="shared" si="5"/>
        <v>71.4772</v>
      </c>
      <c r="Q16" s="62" t="str">
        <f t="shared" si="6"/>
        <v>m²</v>
      </c>
      <c r="R16" s="61">
        <f t="shared" si="7"/>
        <v>6377.23</v>
      </c>
      <c r="S16" s="61">
        <f t="shared" si="3"/>
        <v>112.081891354083</v>
      </c>
      <c r="T16" s="96"/>
    </row>
    <row r="17" s="41" customFormat="1" ht="23" customHeight="1" outlineLevel="2" spans="1:20">
      <c r="A17" s="59">
        <v>9</v>
      </c>
      <c r="B17" s="60" t="s">
        <v>30</v>
      </c>
      <c r="C17" s="61"/>
      <c r="D17" s="61">
        <v>151.61</v>
      </c>
      <c r="E17" s="61">
        <v>37.9</v>
      </c>
      <c r="F17" s="61"/>
      <c r="G17" s="61">
        <f t="shared" si="4"/>
        <v>189.51</v>
      </c>
      <c r="H17" s="62" t="s">
        <v>18</v>
      </c>
      <c r="I17" s="61">
        <v>6317</v>
      </c>
      <c r="J17" s="86">
        <f t="shared" si="1"/>
        <v>300</v>
      </c>
      <c r="K17" s="61"/>
      <c r="L17" s="61"/>
      <c r="M17" s="61">
        <v>32.3012</v>
      </c>
      <c r="N17" s="61">
        <v>85.3907</v>
      </c>
      <c r="O17" s="61"/>
      <c r="P17" s="61">
        <f t="shared" si="5"/>
        <v>117.6919</v>
      </c>
      <c r="Q17" s="62" t="str">
        <f t="shared" si="6"/>
        <v>m²</v>
      </c>
      <c r="R17" s="61">
        <f t="shared" si="7"/>
        <v>6377.23</v>
      </c>
      <c r="S17" s="61">
        <f t="shared" si="3"/>
        <v>184.550188718299</v>
      </c>
      <c r="T17" s="96"/>
    </row>
    <row r="18" s="41" customFormat="1" ht="23" customHeight="1" outlineLevel="2" spans="1:20">
      <c r="A18" s="59">
        <v>10</v>
      </c>
      <c r="B18" s="60" t="s">
        <v>31</v>
      </c>
      <c r="C18" s="61"/>
      <c r="D18" s="61">
        <v>126.02</v>
      </c>
      <c r="E18" s="61">
        <v>95.07</v>
      </c>
      <c r="F18" s="61"/>
      <c r="G18" s="61">
        <f t="shared" si="4"/>
        <v>221.09</v>
      </c>
      <c r="H18" s="62" t="s">
        <v>18</v>
      </c>
      <c r="I18" s="61">
        <v>6317</v>
      </c>
      <c r="J18" s="86">
        <f t="shared" si="1"/>
        <v>349.992084850404</v>
      </c>
      <c r="K18" s="61"/>
      <c r="L18" s="61"/>
      <c r="M18" s="61">
        <v>115.498</v>
      </c>
      <c r="N18" s="61">
        <v>104.0805</v>
      </c>
      <c r="O18" s="61"/>
      <c r="P18" s="61">
        <f t="shared" si="5"/>
        <v>219.5785</v>
      </c>
      <c r="Q18" s="62" t="str">
        <f t="shared" si="6"/>
        <v>m²</v>
      </c>
      <c r="R18" s="61">
        <f t="shared" si="7"/>
        <v>6377.23</v>
      </c>
      <c r="S18" s="61">
        <f t="shared" si="3"/>
        <v>344.316419511293</v>
      </c>
      <c r="T18" s="96"/>
    </row>
    <row r="19" s="41" customFormat="1" ht="23" customHeight="1" outlineLevel="2" spans="1:20">
      <c r="A19" s="59">
        <v>11</v>
      </c>
      <c r="B19" s="60" t="s">
        <v>32</v>
      </c>
      <c r="C19" s="61"/>
      <c r="D19" s="61"/>
      <c r="E19" s="61">
        <v>15.79</v>
      </c>
      <c r="F19" s="61"/>
      <c r="G19" s="61">
        <f t="shared" si="4"/>
        <v>15.79</v>
      </c>
      <c r="H19" s="62" t="s">
        <v>18</v>
      </c>
      <c r="I19" s="61">
        <v>6317</v>
      </c>
      <c r="J19" s="86">
        <f t="shared" si="1"/>
        <v>24.9960424252018</v>
      </c>
      <c r="K19" s="61"/>
      <c r="L19" s="61"/>
      <c r="M19" s="61"/>
      <c r="N19" s="61">
        <v>13.787</v>
      </c>
      <c r="O19" s="61"/>
      <c r="P19" s="61">
        <f t="shared" si="5"/>
        <v>13.787</v>
      </c>
      <c r="Q19" s="62" t="str">
        <f t="shared" si="6"/>
        <v>m²</v>
      </c>
      <c r="R19" s="61">
        <f t="shared" si="7"/>
        <v>6377.23</v>
      </c>
      <c r="S19" s="61">
        <f t="shared" si="3"/>
        <v>21.61910421923</v>
      </c>
      <c r="T19" s="96"/>
    </row>
    <row r="20" ht="23" customHeight="1" outlineLevel="2" spans="1:20">
      <c r="A20" s="63"/>
      <c r="B20" s="64" t="s">
        <v>33</v>
      </c>
      <c r="C20" s="65">
        <f t="shared" ref="C20:G20" si="8">SUM(C10:C19)</f>
        <v>1895.1</v>
      </c>
      <c r="D20" s="65">
        <f t="shared" si="8"/>
        <v>336.7</v>
      </c>
      <c r="E20" s="65">
        <f t="shared" si="8"/>
        <v>531.89</v>
      </c>
      <c r="F20" s="66"/>
      <c r="G20" s="65">
        <f t="shared" si="8"/>
        <v>2763.69</v>
      </c>
      <c r="H20" s="65" t="s">
        <v>18</v>
      </c>
      <c r="I20" s="65">
        <v>6317</v>
      </c>
      <c r="J20" s="87">
        <f t="shared" si="1"/>
        <v>4375.0039575748</v>
      </c>
      <c r="K20" s="66"/>
      <c r="L20" s="65">
        <f t="shared" ref="L20:P20" si="9">SUM(L9:L19)</f>
        <v>2241.401</v>
      </c>
      <c r="M20" s="65">
        <f t="shared" si="9"/>
        <v>161.731</v>
      </c>
      <c r="N20" s="65">
        <f t="shared" si="9"/>
        <v>654.2874</v>
      </c>
      <c r="O20" s="65">
        <f t="shared" si="9"/>
        <v>0</v>
      </c>
      <c r="P20" s="65">
        <f t="shared" si="9"/>
        <v>3057.4194</v>
      </c>
      <c r="Q20" s="97" t="str">
        <f t="shared" si="6"/>
        <v>m²</v>
      </c>
      <c r="R20" s="66">
        <f t="shared" si="7"/>
        <v>6377.23</v>
      </c>
      <c r="S20" s="65">
        <f t="shared" si="3"/>
        <v>4794.27494382357</v>
      </c>
      <c r="T20" s="98"/>
    </row>
    <row r="21" ht="23" customHeight="1" outlineLevel="1" spans="1:20">
      <c r="A21" s="55" t="s">
        <v>34</v>
      </c>
      <c r="B21" s="56" t="s">
        <v>35</v>
      </c>
      <c r="C21" s="58"/>
      <c r="D21" s="58"/>
      <c r="E21" s="58"/>
      <c r="F21" s="58"/>
      <c r="G21" s="58"/>
      <c r="H21" s="58"/>
      <c r="I21" s="58"/>
      <c r="J21" s="85"/>
      <c r="K21" s="58"/>
      <c r="L21" s="58"/>
      <c r="M21" s="58"/>
      <c r="N21" s="58"/>
      <c r="O21" s="58"/>
      <c r="P21" s="58"/>
      <c r="Q21" s="58"/>
      <c r="R21" s="58"/>
      <c r="S21" s="58"/>
      <c r="T21" s="95"/>
    </row>
    <row r="22" s="41" customFormat="1" ht="23" customHeight="1" outlineLevel="2" spans="1:20">
      <c r="A22" s="59">
        <v>1</v>
      </c>
      <c r="B22" s="60" t="s">
        <v>21</v>
      </c>
      <c r="C22" s="61">
        <v>166.2</v>
      </c>
      <c r="D22" s="61"/>
      <c r="E22" s="61"/>
      <c r="F22" s="61"/>
      <c r="G22" s="61">
        <f t="shared" ref="G22:G31" si="10">SUM(C22:F22)</f>
        <v>166.2</v>
      </c>
      <c r="H22" s="62" t="s">
        <v>18</v>
      </c>
      <c r="I22" s="61">
        <v>6648</v>
      </c>
      <c r="J22" s="86">
        <f t="shared" ref="J22:J32" si="11">+G22/I22*10000</f>
        <v>250</v>
      </c>
      <c r="K22" s="61"/>
      <c r="L22" s="61">
        <v>12.643</v>
      </c>
      <c r="M22" s="61"/>
      <c r="N22" s="61"/>
      <c r="O22" s="61"/>
      <c r="P22" s="61">
        <f t="shared" ref="P22:P31" si="12">SUM(L22:O22)</f>
        <v>12.643</v>
      </c>
      <c r="Q22" s="62" t="str">
        <f t="shared" ref="Q22:Q32" si="13">H22</f>
        <v>m²</v>
      </c>
      <c r="R22" s="61">
        <v>329.94</v>
      </c>
      <c r="S22" s="61">
        <f t="shared" ref="S22:S32" si="14">+P22/R22*10000</f>
        <v>383.190883190883</v>
      </c>
      <c r="T22" s="99"/>
    </row>
    <row r="23" s="41" customFormat="1" ht="23" customHeight="1" outlineLevel="2" spans="1:20">
      <c r="A23" s="59">
        <v>2</v>
      </c>
      <c r="B23" s="60" t="s">
        <v>36</v>
      </c>
      <c r="C23" s="61">
        <v>0</v>
      </c>
      <c r="D23" s="61"/>
      <c r="E23" s="61"/>
      <c r="F23" s="61"/>
      <c r="G23" s="61"/>
      <c r="H23" s="62"/>
      <c r="I23" s="61"/>
      <c r="J23" s="86"/>
      <c r="K23" s="61"/>
      <c r="L23" s="61">
        <f>563583/10000</f>
        <v>56.3583</v>
      </c>
      <c r="M23" s="61"/>
      <c r="N23" s="61"/>
      <c r="O23" s="61"/>
      <c r="P23" s="61">
        <f t="shared" si="12"/>
        <v>56.3583</v>
      </c>
      <c r="Q23" s="62" t="s">
        <v>18</v>
      </c>
      <c r="R23" s="62">
        <v>6738.86</v>
      </c>
      <c r="S23" s="61">
        <f t="shared" si="14"/>
        <v>83.6318012245395</v>
      </c>
      <c r="T23" s="99"/>
    </row>
    <row r="24" s="41" customFormat="1" ht="23" customHeight="1" outlineLevel="2" spans="1:20">
      <c r="A24" s="59">
        <v>3</v>
      </c>
      <c r="B24" s="60" t="s">
        <v>37</v>
      </c>
      <c r="C24" s="61">
        <v>398.88</v>
      </c>
      <c r="D24" s="61"/>
      <c r="E24" s="61"/>
      <c r="F24" s="61"/>
      <c r="G24" s="61">
        <f t="shared" si="10"/>
        <v>398.88</v>
      </c>
      <c r="H24" s="61" t="s">
        <v>38</v>
      </c>
      <c r="I24" s="61">
        <v>997.2</v>
      </c>
      <c r="J24" s="86">
        <f t="shared" si="11"/>
        <v>4000</v>
      </c>
      <c r="K24" s="61"/>
      <c r="L24" s="61">
        <f>158552/10000</f>
        <v>15.8552</v>
      </c>
      <c r="M24" s="61"/>
      <c r="N24" s="61"/>
      <c r="O24" s="61"/>
      <c r="P24" s="61">
        <f t="shared" si="12"/>
        <v>15.8552</v>
      </c>
      <c r="Q24" s="62" t="str">
        <f t="shared" si="13"/>
        <v>m</v>
      </c>
      <c r="R24" s="61">
        <f>73.9+1*2*4</f>
        <v>81.9</v>
      </c>
      <c r="S24" s="61">
        <f t="shared" si="14"/>
        <v>1935.92185592186</v>
      </c>
      <c r="T24" s="96"/>
    </row>
    <row r="25" s="41" customFormat="1" ht="23" customHeight="1" outlineLevel="2" spans="1:20">
      <c r="A25" s="59">
        <v>4</v>
      </c>
      <c r="B25" s="60" t="s">
        <v>39</v>
      </c>
      <c r="C25" s="61">
        <v>17.87</v>
      </c>
      <c r="D25" s="61"/>
      <c r="E25" s="61"/>
      <c r="F25" s="61"/>
      <c r="G25" s="61">
        <f t="shared" si="10"/>
        <v>17.87</v>
      </c>
      <c r="H25" s="62" t="s">
        <v>40</v>
      </c>
      <c r="I25" s="61">
        <v>1489.5</v>
      </c>
      <c r="J25" s="86">
        <f t="shared" si="11"/>
        <v>119.973145350789</v>
      </c>
      <c r="K25" s="61"/>
      <c r="L25" s="61">
        <f>102092/10000</f>
        <v>10.2092</v>
      </c>
      <c r="M25" s="61"/>
      <c r="N25" s="61"/>
      <c r="O25" s="61"/>
      <c r="P25" s="61">
        <f t="shared" si="12"/>
        <v>10.2092</v>
      </c>
      <c r="Q25" s="62" t="str">
        <f t="shared" si="13"/>
        <v>m³</v>
      </c>
      <c r="R25" s="61">
        <v>3188.112</v>
      </c>
      <c r="S25" s="61">
        <f t="shared" si="14"/>
        <v>32.0227143839363</v>
      </c>
      <c r="T25" s="96"/>
    </row>
    <row r="26" s="41" customFormat="1" ht="23" customHeight="1" outlineLevel="2" spans="1:20">
      <c r="A26" s="59">
        <v>5</v>
      </c>
      <c r="B26" s="60" t="s">
        <v>22</v>
      </c>
      <c r="C26" s="61">
        <v>66.2</v>
      </c>
      <c r="D26" s="61"/>
      <c r="E26" s="61"/>
      <c r="F26" s="61"/>
      <c r="G26" s="61">
        <f t="shared" si="10"/>
        <v>66.2</v>
      </c>
      <c r="H26" s="62" t="s">
        <v>18</v>
      </c>
      <c r="I26" s="61">
        <v>331</v>
      </c>
      <c r="J26" s="86">
        <f t="shared" si="11"/>
        <v>2000</v>
      </c>
      <c r="K26" s="61"/>
      <c r="L26" s="61">
        <v>102.593</v>
      </c>
      <c r="M26" s="61"/>
      <c r="N26" s="61"/>
      <c r="O26" s="61"/>
      <c r="P26" s="61">
        <f t="shared" si="12"/>
        <v>102.593</v>
      </c>
      <c r="Q26" s="62" t="str">
        <f t="shared" si="13"/>
        <v>m²</v>
      </c>
      <c r="R26" s="61">
        <v>329.94</v>
      </c>
      <c r="S26" s="61">
        <f t="shared" si="14"/>
        <v>3109.44414135904</v>
      </c>
      <c r="T26" s="96"/>
    </row>
    <row r="27" s="41" customFormat="1" ht="23" customHeight="1" outlineLevel="2" spans="1:20">
      <c r="A27" s="59">
        <v>6</v>
      </c>
      <c r="B27" s="60" t="s">
        <v>41</v>
      </c>
      <c r="C27" s="61">
        <v>9.93</v>
      </c>
      <c r="D27" s="61"/>
      <c r="E27" s="61"/>
      <c r="F27" s="61"/>
      <c r="G27" s="61">
        <f t="shared" si="10"/>
        <v>9.93</v>
      </c>
      <c r="H27" s="62" t="s">
        <v>18</v>
      </c>
      <c r="I27" s="61">
        <v>331</v>
      </c>
      <c r="J27" s="86">
        <f t="shared" si="11"/>
        <v>300</v>
      </c>
      <c r="K27" s="61"/>
      <c r="L27" s="61">
        <f>139717/10000</f>
        <v>13.9717</v>
      </c>
      <c r="M27" s="61"/>
      <c r="N27" s="61"/>
      <c r="O27" s="61"/>
      <c r="P27" s="61">
        <f t="shared" si="12"/>
        <v>13.9717</v>
      </c>
      <c r="Q27" s="62" t="str">
        <f t="shared" si="13"/>
        <v>m²</v>
      </c>
      <c r="R27" s="61">
        <v>329.94</v>
      </c>
      <c r="S27" s="61">
        <f t="shared" si="14"/>
        <v>423.461841546948</v>
      </c>
      <c r="T27" s="96"/>
    </row>
    <row r="28" s="41" customFormat="1" ht="23" customHeight="1" outlineLevel="2" spans="1:20">
      <c r="A28" s="59">
        <v>7</v>
      </c>
      <c r="B28" s="60" t="s">
        <v>26</v>
      </c>
      <c r="C28" s="61"/>
      <c r="D28" s="61">
        <v>0.66</v>
      </c>
      <c r="E28" s="61">
        <v>5.96</v>
      </c>
      <c r="F28" s="61"/>
      <c r="G28" s="61">
        <f t="shared" si="10"/>
        <v>6.62</v>
      </c>
      <c r="H28" s="62" t="s">
        <v>18</v>
      </c>
      <c r="I28" s="61">
        <v>331</v>
      </c>
      <c r="J28" s="86">
        <f t="shared" si="11"/>
        <v>200</v>
      </c>
      <c r="K28" s="61"/>
      <c r="L28" s="61"/>
      <c r="M28" s="61">
        <v>0.863</v>
      </c>
      <c r="N28" s="61">
        <v>25.8595</v>
      </c>
      <c r="O28" s="61"/>
      <c r="P28" s="61">
        <f t="shared" si="12"/>
        <v>26.7225</v>
      </c>
      <c r="Q28" s="62" t="str">
        <f t="shared" si="13"/>
        <v>m²</v>
      </c>
      <c r="R28" s="61">
        <v>329.94</v>
      </c>
      <c r="S28" s="61">
        <f t="shared" si="14"/>
        <v>809.9199854519</v>
      </c>
      <c r="T28" s="96"/>
    </row>
    <row r="29" s="41" customFormat="1" ht="23" customHeight="1" outlineLevel="2" spans="1:20">
      <c r="A29" s="59">
        <v>8</v>
      </c>
      <c r="B29" s="60" t="s">
        <v>42</v>
      </c>
      <c r="C29" s="61"/>
      <c r="D29" s="61">
        <v>4.3</v>
      </c>
      <c r="E29" s="61">
        <v>2.32</v>
      </c>
      <c r="F29" s="61"/>
      <c r="G29" s="61">
        <f t="shared" si="10"/>
        <v>6.62</v>
      </c>
      <c r="H29" s="62" t="s">
        <v>18</v>
      </c>
      <c r="I29" s="61">
        <v>331</v>
      </c>
      <c r="J29" s="86">
        <f t="shared" si="11"/>
        <v>200</v>
      </c>
      <c r="K29" s="61"/>
      <c r="L29" s="61"/>
      <c r="M29" s="61">
        <f>(9994+164532)/10000</f>
        <v>17.4526</v>
      </c>
      <c r="N29" s="61">
        <f>476161/10000-M29</f>
        <v>30.1635</v>
      </c>
      <c r="O29" s="61"/>
      <c r="P29" s="61">
        <f t="shared" si="12"/>
        <v>47.6161</v>
      </c>
      <c r="Q29" s="62" t="str">
        <f t="shared" si="13"/>
        <v>m²</v>
      </c>
      <c r="R29" s="61">
        <v>329.94</v>
      </c>
      <c r="S29" s="61">
        <f t="shared" si="14"/>
        <v>1443.17451657877</v>
      </c>
      <c r="T29" s="96"/>
    </row>
    <row r="30" s="41" customFormat="1" ht="23" customHeight="1" outlineLevel="2" spans="1:20">
      <c r="A30" s="59">
        <v>9</v>
      </c>
      <c r="B30" s="60" t="s">
        <v>43</v>
      </c>
      <c r="C30" s="61"/>
      <c r="D30" s="61">
        <v>0.28</v>
      </c>
      <c r="E30" s="61">
        <v>1.37</v>
      </c>
      <c r="F30" s="61"/>
      <c r="G30" s="61">
        <f t="shared" si="10"/>
        <v>1.65</v>
      </c>
      <c r="H30" s="62" t="s">
        <v>18</v>
      </c>
      <c r="I30" s="61">
        <v>331</v>
      </c>
      <c r="J30" s="86">
        <f t="shared" si="11"/>
        <v>49.8489425981873</v>
      </c>
      <c r="K30" s="61"/>
      <c r="L30" s="61"/>
      <c r="M30" s="61">
        <v>0.44</v>
      </c>
      <c r="N30" s="61">
        <v>2.4887</v>
      </c>
      <c r="O30" s="61"/>
      <c r="P30" s="61">
        <f t="shared" si="12"/>
        <v>2.9287</v>
      </c>
      <c r="Q30" s="62" t="str">
        <f t="shared" si="13"/>
        <v>m²</v>
      </c>
      <c r="R30" s="61">
        <v>329.94</v>
      </c>
      <c r="S30" s="61">
        <f t="shared" si="14"/>
        <v>88.7646238710068</v>
      </c>
      <c r="T30" s="96"/>
    </row>
    <row r="31" s="41" customFormat="1" ht="23" customHeight="1" outlineLevel="2" spans="1:20">
      <c r="A31" s="59">
        <v>10</v>
      </c>
      <c r="B31" s="60" t="s">
        <v>32</v>
      </c>
      <c r="C31" s="61"/>
      <c r="D31" s="61"/>
      <c r="E31" s="61">
        <v>0.83</v>
      </c>
      <c r="F31" s="61"/>
      <c r="G31" s="61">
        <f t="shared" si="10"/>
        <v>0.83</v>
      </c>
      <c r="H31" s="62" t="s">
        <v>18</v>
      </c>
      <c r="I31" s="61">
        <v>331</v>
      </c>
      <c r="J31" s="86">
        <f t="shared" si="11"/>
        <v>25.0755287009063</v>
      </c>
      <c r="K31" s="61"/>
      <c r="L31" s="61"/>
      <c r="M31" s="61"/>
      <c r="N31" s="61">
        <v>1.4194</v>
      </c>
      <c r="O31" s="61"/>
      <c r="P31" s="61">
        <f t="shared" si="12"/>
        <v>1.4194</v>
      </c>
      <c r="Q31" s="62" t="str">
        <f t="shared" si="13"/>
        <v>m²</v>
      </c>
      <c r="R31" s="61">
        <v>329.94</v>
      </c>
      <c r="S31" s="61">
        <f t="shared" si="14"/>
        <v>43.019943019943</v>
      </c>
      <c r="T31" s="96"/>
    </row>
    <row r="32" ht="23" customHeight="1" outlineLevel="2" spans="1:20">
      <c r="A32" s="67"/>
      <c r="B32" s="64" t="s">
        <v>44</v>
      </c>
      <c r="C32" s="65">
        <f t="shared" ref="C32:G32" si="15">SUM(C22:C31)</f>
        <v>659.08</v>
      </c>
      <c r="D32" s="65">
        <f t="shared" si="15"/>
        <v>5.24</v>
      </c>
      <c r="E32" s="65">
        <f t="shared" si="15"/>
        <v>10.48</v>
      </c>
      <c r="F32" s="65"/>
      <c r="G32" s="65">
        <f t="shared" si="15"/>
        <v>674.8</v>
      </c>
      <c r="H32" s="65" t="s">
        <v>18</v>
      </c>
      <c r="I32" s="65">
        <v>331</v>
      </c>
      <c r="J32" s="87">
        <f t="shared" si="11"/>
        <v>20386.7069486405</v>
      </c>
      <c r="K32" s="66"/>
      <c r="L32" s="65">
        <f t="shared" ref="L32:N32" si="16">SUM(L22:L31)</f>
        <v>211.6304</v>
      </c>
      <c r="M32" s="65">
        <f t="shared" si="16"/>
        <v>18.7556</v>
      </c>
      <c r="N32" s="65">
        <f t="shared" si="16"/>
        <v>59.9311</v>
      </c>
      <c r="O32" s="65"/>
      <c r="P32" s="65">
        <f>SUM(P22:P31)</f>
        <v>290.3171</v>
      </c>
      <c r="Q32" s="97" t="str">
        <f t="shared" si="13"/>
        <v>m²</v>
      </c>
      <c r="R32" s="66">
        <v>329.94</v>
      </c>
      <c r="S32" s="65">
        <f t="shared" si="14"/>
        <v>8799.0877129175</v>
      </c>
      <c r="T32" s="98"/>
    </row>
    <row r="33" ht="23" customHeight="1" outlineLevel="1" spans="1:20">
      <c r="A33" s="55" t="s">
        <v>45</v>
      </c>
      <c r="B33" s="56" t="s">
        <v>46</v>
      </c>
      <c r="C33" s="58"/>
      <c r="D33" s="58"/>
      <c r="E33" s="58"/>
      <c r="F33" s="58"/>
      <c r="G33" s="58"/>
      <c r="H33" s="58"/>
      <c r="I33" s="58"/>
      <c r="J33" s="85"/>
      <c r="K33" s="58"/>
      <c r="L33" s="58"/>
      <c r="M33" s="58"/>
      <c r="N33" s="58"/>
      <c r="O33" s="58"/>
      <c r="P33" s="58"/>
      <c r="Q33" s="58"/>
      <c r="R33" s="58"/>
      <c r="S33" s="58"/>
      <c r="T33" s="95"/>
    </row>
    <row r="34" s="41" customFormat="1" ht="23" customHeight="1" outlineLevel="2" spans="1:20">
      <c r="A34" s="59">
        <v>1</v>
      </c>
      <c r="B34" s="60" t="s">
        <v>47</v>
      </c>
      <c r="C34" s="61"/>
      <c r="D34" s="61">
        <v>226.8</v>
      </c>
      <c r="E34" s="61"/>
      <c r="F34" s="61"/>
      <c r="G34" s="61">
        <f t="shared" ref="G34:G42" si="17">SUM(C34:F34)</f>
        <v>226.8</v>
      </c>
      <c r="H34" s="61" t="s">
        <v>48</v>
      </c>
      <c r="I34" s="61">
        <v>1260</v>
      </c>
      <c r="J34" s="86">
        <f t="shared" ref="J34:J42" si="18">+G34/I34*10000</f>
        <v>1800</v>
      </c>
      <c r="K34" s="61"/>
      <c r="L34" s="61"/>
      <c r="M34" s="61">
        <v>145.0334</v>
      </c>
      <c r="N34" s="61">
        <v>40.7172</v>
      </c>
      <c r="O34" s="61"/>
      <c r="P34" s="61">
        <f t="shared" ref="P34:P42" si="19">SUM(L34:O34)</f>
        <v>185.7506</v>
      </c>
      <c r="Q34" s="62" t="str">
        <f t="shared" ref="Q34:Q43" si="20">H34</f>
        <v>kVA</v>
      </c>
      <c r="R34" s="61">
        <f t="shared" ref="R34:R39" si="21">I34</f>
        <v>1260</v>
      </c>
      <c r="S34" s="61">
        <f t="shared" ref="S34:S42" si="22">+P34/R34*10000</f>
        <v>1474.21111111111</v>
      </c>
      <c r="T34" s="96"/>
    </row>
    <row r="35" s="41" customFormat="1" ht="23" customHeight="1" outlineLevel="2" spans="1:20">
      <c r="A35" s="59">
        <v>2</v>
      </c>
      <c r="B35" s="60" t="s">
        <v>49</v>
      </c>
      <c r="C35" s="61"/>
      <c r="D35" s="61">
        <v>39</v>
      </c>
      <c r="E35" s="61"/>
      <c r="F35" s="61"/>
      <c r="G35" s="61">
        <f t="shared" si="17"/>
        <v>39</v>
      </c>
      <c r="H35" s="61" t="s">
        <v>48</v>
      </c>
      <c r="I35" s="61">
        <v>260</v>
      </c>
      <c r="J35" s="86">
        <f t="shared" si="18"/>
        <v>1500</v>
      </c>
      <c r="K35" s="61"/>
      <c r="L35" s="61"/>
      <c r="M35" s="61">
        <v>33.6888</v>
      </c>
      <c r="N35" s="61">
        <v>4.5241</v>
      </c>
      <c r="O35" s="61"/>
      <c r="P35" s="61">
        <f t="shared" si="19"/>
        <v>38.2129</v>
      </c>
      <c r="Q35" s="62" t="str">
        <f t="shared" si="20"/>
        <v>kVA</v>
      </c>
      <c r="R35" s="61">
        <f t="shared" si="21"/>
        <v>260</v>
      </c>
      <c r="S35" s="61">
        <f t="shared" si="22"/>
        <v>1469.72692307692</v>
      </c>
      <c r="T35" s="96"/>
    </row>
    <row r="36" s="41" customFormat="1" ht="23" customHeight="1" outlineLevel="2" spans="1:20">
      <c r="A36" s="59">
        <v>3</v>
      </c>
      <c r="B36" s="60" t="s">
        <v>50</v>
      </c>
      <c r="C36" s="61">
        <v>200</v>
      </c>
      <c r="D36" s="61"/>
      <c r="E36" s="61"/>
      <c r="F36" s="61"/>
      <c r="G36" s="61">
        <f t="shared" si="17"/>
        <v>200</v>
      </c>
      <c r="H36" s="61" t="s">
        <v>51</v>
      </c>
      <c r="I36" s="61">
        <v>1</v>
      </c>
      <c r="J36" s="86">
        <f t="shared" si="18"/>
        <v>2000000</v>
      </c>
      <c r="K36" s="61"/>
      <c r="L36" s="61"/>
      <c r="M36" s="61"/>
      <c r="N36" s="61">
        <v>200.8011</v>
      </c>
      <c r="O36" s="61"/>
      <c r="P36" s="61">
        <f t="shared" si="19"/>
        <v>200.8011</v>
      </c>
      <c r="Q36" s="62" t="str">
        <f t="shared" si="20"/>
        <v>项</v>
      </c>
      <c r="R36" s="61">
        <f t="shared" si="21"/>
        <v>1</v>
      </c>
      <c r="S36" s="61">
        <f t="shared" si="22"/>
        <v>2008011</v>
      </c>
      <c r="T36" s="96"/>
    </row>
    <row r="37" s="41" customFormat="1" ht="23" customHeight="1" outlineLevel="2" spans="1:20">
      <c r="A37" s="59">
        <v>4</v>
      </c>
      <c r="B37" s="60" t="s">
        <v>52</v>
      </c>
      <c r="C37" s="61"/>
      <c r="D37" s="61">
        <v>20</v>
      </c>
      <c r="E37" s="61"/>
      <c r="F37" s="61"/>
      <c r="G37" s="61">
        <f t="shared" si="17"/>
        <v>20</v>
      </c>
      <c r="H37" s="61" t="s">
        <v>53</v>
      </c>
      <c r="I37" s="61">
        <v>1</v>
      </c>
      <c r="J37" s="86">
        <f t="shared" si="18"/>
        <v>200000</v>
      </c>
      <c r="K37" s="61"/>
      <c r="L37" s="61"/>
      <c r="M37" s="61">
        <v>35.3486</v>
      </c>
      <c r="N37" s="61">
        <v>3.1814</v>
      </c>
      <c r="O37" s="61"/>
      <c r="P37" s="61">
        <f t="shared" si="19"/>
        <v>38.53</v>
      </c>
      <c r="Q37" s="62" t="str">
        <f t="shared" si="20"/>
        <v>部</v>
      </c>
      <c r="R37" s="61">
        <f t="shared" si="21"/>
        <v>1</v>
      </c>
      <c r="S37" s="61">
        <f t="shared" si="22"/>
        <v>385300</v>
      </c>
      <c r="T37" s="96"/>
    </row>
    <row r="38" s="41" customFormat="1" ht="23" customHeight="1" outlineLevel="2" spans="1:20">
      <c r="A38" s="59">
        <v>5</v>
      </c>
      <c r="B38" s="60" t="s">
        <v>54</v>
      </c>
      <c r="C38" s="61"/>
      <c r="D38" s="61">
        <v>12</v>
      </c>
      <c r="E38" s="61"/>
      <c r="F38" s="61"/>
      <c r="G38" s="61">
        <f t="shared" si="17"/>
        <v>12</v>
      </c>
      <c r="H38" s="61" t="s">
        <v>53</v>
      </c>
      <c r="I38" s="61">
        <v>1</v>
      </c>
      <c r="J38" s="86">
        <f t="shared" si="18"/>
        <v>120000</v>
      </c>
      <c r="K38" s="61"/>
      <c r="L38" s="61"/>
      <c r="M38" s="61">
        <v>23.5743</v>
      </c>
      <c r="N38" s="61">
        <v>2.1217</v>
      </c>
      <c r="O38" s="61"/>
      <c r="P38" s="61">
        <f t="shared" si="19"/>
        <v>25.696</v>
      </c>
      <c r="Q38" s="62" t="str">
        <f t="shared" si="20"/>
        <v>部</v>
      </c>
      <c r="R38" s="61">
        <f t="shared" si="21"/>
        <v>1</v>
      </c>
      <c r="S38" s="61">
        <f t="shared" si="22"/>
        <v>256960</v>
      </c>
      <c r="T38" s="96"/>
    </row>
    <row r="39" s="41" customFormat="1" ht="23" customHeight="1" outlineLevel="2" spans="1:20">
      <c r="A39" s="59">
        <v>6</v>
      </c>
      <c r="B39" s="60" t="s">
        <v>55</v>
      </c>
      <c r="C39" s="61"/>
      <c r="D39" s="61">
        <v>60</v>
      </c>
      <c r="E39" s="61"/>
      <c r="F39" s="61"/>
      <c r="G39" s="61">
        <f t="shared" si="17"/>
        <v>60</v>
      </c>
      <c r="H39" s="61" t="s">
        <v>51</v>
      </c>
      <c r="I39" s="61">
        <v>1</v>
      </c>
      <c r="J39" s="86">
        <f t="shared" si="18"/>
        <v>600000</v>
      </c>
      <c r="K39" s="61"/>
      <c r="L39" s="61"/>
      <c r="M39" s="61">
        <v>58</v>
      </c>
      <c r="N39" s="61">
        <v>5.785</v>
      </c>
      <c r="O39" s="61"/>
      <c r="P39" s="61">
        <f t="shared" si="19"/>
        <v>63.785</v>
      </c>
      <c r="Q39" s="62" t="str">
        <f t="shared" si="20"/>
        <v>项</v>
      </c>
      <c r="R39" s="61">
        <f t="shared" si="21"/>
        <v>1</v>
      </c>
      <c r="S39" s="61">
        <f t="shared" si="22"/>
        <v>637850</v>
      </c>
      <c r="T39" s="96"/>
    </row>
    <row r="40" s="41" customFormat="1" ht="23" customHeight="1" outlineLevel="2" spans="1:20">
      <c r="A40" s="59">
        <v>7</v>
      </c>
      <c r="B40" s="60" t="s">
        <v>56</v>
      </c>
      <c r="C40" s="61">
        <v>6.65</v>
      </c>
      <c r="D40" s="61"/>
      <c r="E40" s="61"/>
      <c r="F40" s="61"/>
      <c r="G40" s="61">
        <f t="shared" si="17"/>
        <v>6.65</v>
      </c>
      <c r="H40" s="61" t="s">
        <v>18</v>
      </c>
      <c r="I40" s="61">
        <v>6648</v>
      </c>
      <c r="J40" s="86">
        <f t="shared" si="18"/>
        <v>10.003008423586</v>
      </c>
      <c r="K40" s="61"/>
      <c r="L40" s="61">
        <f>66152/10000</f>
        <v>6.6152</v>
      </c>
      <c r="M40" s="61"/>
      <c r="N40" s="61"/>
      <c r="O40" s="61"/>
      <c r="P40" s="61">
        <f t="shared" si="19"/>
        <v>6.6152</v>
      </c>
      <c r="Q40" s="62" t="str">
        <f t="shared" si="20"/>
        <v>m²</v>
      </c>
      <c r="R40" s="61">
        <f>R23</f>
        <v>6738.86</v>
      </c>
      <c r="S40" s="61">
        <f t="shared" si="22"/>
        <v>9.81649715233734</v>
      </c>
      <c r="T40" s="96"/>
    </row>
    <row r="41" s="41" customFormat="1" ht="23" customHeight="1" outlineLevel="2" spans="1:20">
      <c r="A41" s="59">
        <v>8</v>
      </c>
      <c r="B41" s="60" t="s">
        <v>57</v>
      </c>
      <c r="C41" s="61"/>
      <c r="D41" s="61">
        <v>3.5</v>
      </c>
      <c r="E41" s="61"/>
      <c r="F41" s="61"/>
      <c r="G41" s="61">
        <f t="shared" si="17"/>
        <v>3.5</v>
      </c>
      <c r="H41" s="61" t="s">
        <v>58</v>
      </c>
      <c r="I41" s="61">
        <v>1</v>
      </c>
      <c r="J41" s="86">
        <f t="shared" si="18"/>
        <v>35000</v>
      </c>
      <c r="K41" s="61"/>
      <c r="L41" s="61"/>
      <c r="M41" s="61">
        <v>4.5872</v>
      </c>
      <c r="N41" s="61">
        <v>0.462899999999999</v>
      </c>
      <c r="O41" s="61"/>
      <c r="P41" s="61">
        <f t="shared" si="19"/>
        <v>5.0501</v>
      </c>
      <c r="Q41" s="62" t="str">
        <f t="shared" si="20"/>
        <v>个</v>
      </c>
      <c r="R41" s="61">
        <f t="shared" ref="R41:R43" si="23">I41</f>
        <v>1</v>
      </c>
      <c r="S41" s="61">
        <f t="shared" si="22"/>
        <v>50501</v>
      </c>
      <c r="T41" s="96"/>
    </row>
    <row r="42" s="41" customFormat="1" ht="23" customHeight="1" outlineLevel="2" spans="1:20">
      <c r="A42" s="59">
        <v>9</v>
      </c>
      <c r="B42" s="60" t="s">
        <v>59</v>
      </c>
      <c r="C42" s="61"/>
      <c r="D42" s="61">
        <v>6</v>
      </c>
      <c r="E42" s="61"/>
      <c r="F42" s="61"/>
      <c r="G42" s="61">
        <f t="shared" si="17"/>
        <v>6</v>
      </c>
      <c r="H42" s="61" t="s">
        <v>58</v>
      </c>
      <c r="I42" s="61">
        <v>4</v>
      </c>
      <c r="J42" s="86">
        <f t="shared" si="18"/>
        <v>15000</v>
      </c>
      <c r="K42" s="61"/>
      <c r="L42" s="61"/>
      <c r="M42" s="61">
        <v>4.4697</v>
      </c>
      <c r="N42" s="61">
        <v>0.6024</v>
      </c>
      <c r="O42" s="61"/>
      <c r="P42" s="61">
        <f t="shared" si="19"/>
        <v>5.0721</v>
      </c>
      <c r="Q42" s="62" t="str">
        <f t="shared" si="20"/>
        <v>个</v>
      </c>
      <c r="R42" s="61">
        <f t="shared" si="23"/>
        <v>4</v>
      </c>
      <c r="S42" s="61">
        <f t="shared" si="22"/>
        <v>12680.25</v>
      </c>
      <c r="T42" s="96"/>
    </row>
    <row r="43" ht="23" customHeight="1" outlineLevel="2" spans="1:20">
      <c r="A43" s="67"/>
      <c r="B43" s="64" t="s">
        <v>60</v>
      </c>
      <c r="C43" s="65">
        <f t="shared" ref="C43:G43" si="24">SUM(C34:C42)</f>
        <v>206.65</v>
      </c>
      <c r="D43" s="65">
        <f t="shared" si="24"/>
        <v>367.3</v>
      </c>
      <c r="E43" s="65">
        <f t="shared" si="24"/>
        <v>0</v>
      </c>
      <c r="F43" s="66"/>
      <c r="G43" s="65">
        <f t="shared" si="24"/>
        <v>573.95</v>
      </c>
      <c r="H43" s="66" t="s">
        <v>18</v>
      </c>
      <c r="I43" s="66">
        <v>1</v>
      </c>
      <c r="J43" s="88"/>
      <c r="K43" s="66"/>
      <c r="L43" s="65">
        <f t="shared" ref="L43:P43" si="25">SUM(L34:L42)</f>
        <v>6.6152</v>
      </c>
      <c r="M43" s="65">
        <f t="shared" si="25"/>
        <v>304.702</v>
      </c>
      <c r="N43" s="65">
        <f t="shared" si="25"/>
        <v>258.1958</v>
      </c>
      <c r="O43" s="65">
        <f t="shared" si="25"/>
        <v>0</v>
      </c>
      <c r="P43" s="65">
        <f t="shared" si="25"/>
        <v>569.513</v>
      </c>
      <c r="Q43" s="97" t="str">
        <f t="shared" si="20"/>
        <v>m²</v>
      </c>
      <c r="R43" s="66">
        <f t="shared" si="23"/>
        <v>1</v>
      </c>
      <c r="S43" s="66"/>
      <c r="T43" s="98"/>
    </row>
    <row r="44" ht="23" customHeight="1" outlineLevel="1" spans="1:20">
      <c r="A44" s="55" t="s">
        <v>61</v>
      </c>
      <c r="B44" s="56" t="s">
        <v>62</v>
      </c>
      <c r="C44" s="58"/>
      <c r="D44" s="58"/>
      <c r="E44" s="58"/>
      <c r="F44" s="58"/>
      <c r="G44" s="58"/>
      <c r="H44" s="58"/>
      <c r="I44" s="58"/>
      <c r="J44" s="85"/>
      <c r="K44" s="58"/>
      <c r="L44" s="58"/>
      <c r="M44" s="58"/>
      <c r="N44" s="58"/>
      <c r="O44" s="58"/>
      <c r="P44" s="58"/>
      <c r="Q44" s="58"/>
      <c r="R44" s="58"/>
      <c r="S44" s="58"/>
      <c r="T44" s="95"/>
    </row>
    <row r="45" s="41" customFormat="1" ht="23" customHeight="1" outlineLevel="2" spans="1:20">
      <c r="A45" s="59">
        <v>1</v>
      </c>
      <c r="B45" s="60" t="s">
        <v>63</v>
      </c>
      <c r="C45" s="61">
        <v>82.15</v>
      </c>
      <c r="D45" s="61"/>
      <c r="E45" s="61"/>
      <c r="F45" s="61"/>
      <c r="G45" s="61">
        <f t="shared" ref="G45:G51" si="26">SUM(C45:F45)</f>
        <v>82.15</v>
      </c>
      <c r="H45" s="62" t="s">
        <v>18</v>
      </c>
      <c r="I45" s="61">
        <v>2053.8</v>
      </c>
      <c r="J45" s="86">
        <f t="shared" ref="J45:J51" si="27">+G45/I45*10000</f>
        <v>399.990261953452</v>
      </c>
      <c r="K45" s="61"/>
      <c r="L45" s="61">
        <f>947241/10000</f>
        <v>94.7241</v>
      </c>
      <c r="M45" s="61"/>
      <c r="N45" s="61"/>
      <c r="O45" s="61"/>
      <c r="P45" s="61">
        <f t="shared" ref="P45:P51" si="28">SUM(L45:O45)</f>
        <v>94.7241</v>
      </c>
      <c r="Q45" s="62" t="str">
        <f t="shared" ref="Q45:Q51" si="29">H45</f>
        <v>m²</v>
      </c>
      <c r="R45" s="61">
        <v>3030</v>
      </c>
      <c r="S45" s="61">
        <f t="shared" ref="S45:S51" si="30">+P45/R45*10000</f>
        <v>312.620792079208</v>
      </c>
      <c r="T45" s="100"/>
    </row>
    <row r="46" s="41" customFormat="1" ht="23" customHeight="1" outlineLevel="2" spans="1:20">
      <c r="A46" s="59">
        <v>2</v>
      </c>
      <c r="B46" s="68" t="s">
        <v>64</v>
      </c>
      <c r="C46" s="61">
        <v>58</v>
      </c>
      <c r="D46" s="61"/>
      <c r="E46" s="61"/>
      <c r="F46" s="61"/>
      <c r="G46" s="61">
        <f t="shared" si="26"/>
        <v>58</v>
      </c>
      <c r="H46" s="62" t="s">
        <v>18</v>
      </c>
      <c r="I46" s="61">
        <v>2900</v>
      </c>
      <c r="J46" s="86">
        <f t="shared" si="27"/>
        <v>200</v>
      </c>
      <c r="K46" s="61"/>
      <c r="L46" s="61">
        <f>556663/10000</f>
        <v>55.6663</v>
      </c>
      <c r="M46" s="61"/>
      <c r="N46" s="61"/>
      <c r="O46" s="61"/>
      <c r="P46" s="61">
        <f t="shared" si="28"/>
        <v>55.6663</v>
      </c>
      <c r="Q46" s="62" t="str">
        <f t="shared" si="29"/>
        <v>m²</v>
      </c>
      <c r="R46" s="61">
        <v>2749.6</v>
      </c>
      <c r="S46" s="61">
        <f t="shared" si="30"/>
        <v>202.45235670643</v>
      </c>
      <c r="T46" s="100"/>
    </row>
    <row r="47" s="41" customFormat="1" ht="23" customHeight="1" outlineLevel="2" spans="1:20">
      <c r="A47" s="59">
        <v>3</v>
      </c>
      <c r="B47" s="60" t="s">
        <v>65</v>
      </c>
      <c r="C47" s="61">
        <v>32</v>
      </c>
      <c r="D47" s="61"/>
      <c r="E47" s="61"/>
      <c r="F47" s="61"/>
      <c r="G47" s="61">
        <f t="shared" si="26"/>
        <v>32</v>
      </c>
      <c r="H47" s="62" t="s">
        <v>38</v>
      </c>
      <c r="I47" s="61">
        <v>320</v>
      </c>
      <c r="J47" s="86">
        <f t="shared" si="27"/>
        <v>1000</v>
      </c>
      <c r="K47" s="61"/>
      <c r="L47" s="61">
        <f>656234/10000</f>
        <v>65.6234</v>
      </c>
      <c r="M47" s="61"/>
      <c r="N47" s="61"/>
      <c r="O47" s="61"/>
      <c r="P47" s="61">
        <f t="shared" si="28"/>
        <v>65.6234</v>
      </c>
      <c r="Q47" s="62" t="str">
        <f t="shared" si="29"/>
        <v>m</v>
      </c>
      <c r="R47" s="61">
        <f>I47</f>
        <v>320</v>
      </c>
      <c r="S47" s="61">
        <f t="shared" si="30"/>
        <v>2050.73125</v>
      </c>
      <c r="T47" s="100"/>
    </row>
    <row r="48" s="41" customFormat="1" ht="23" customHeight="1" outlineLevel="2" spans="1:20">
      <c r="A48" s="59">
        <v>4</v>
      </c>
      <c r="B48" s="60" t="s">
        <v>66</v>
      </c>
      <c r="C48" s="61">
        <v>6</v>
      </c>
      <c r="D48" s="61"/>
      <c r="E48" s="61"/>
      <c r="F48" s="61"/>
      <c r="G48" s="61">
        <f t="shared" si="26"/>
        <v>6</v>
      </c>
      <c r="H48" s="62" t="s">
        <v>58</v>
      </c>
      <c r="I48" s="61">
        <v>1</v>
      </c>
      <c r="J48" s="86">
        <f t="shared" si="27"/>
        <v>60000</v>
      </c>
      <c r="K48" s="61"/>
      <c r="L48" s="61">
        <v>11.8861</v>
      </c>
      <c r="M48" s="61"/>
      <c r="N48" s="61"/>
      <c r="O48" s="61"/>
      <c r="P48" s="61">
        <f t="shared" si="28"/>
        <v>11.8861</v>
      </c>
      <c r="Q48" s="62" t="str">
        <f t="shared" si="29"/>
        <v>个</v>
      </c>
      <c r="R48" s="61">
        <f>I48</f>
        <v>1</v>
      </c>
      <c r="S48" s="61">
        <f t="shared" si="30"/>
        <v>118861</v>
      </c>
      <c r="T48" s="100"/>
    </row>
    <row r="49" s="41" customFormat="1" ht="23" customHeight="1" outlineLevel="2" spans="1:20">
      <c r="A49" s="59">
        <v>5</v>
      </c>
      <c r="B49" s="60" t="s">
        <v>67</v>
      </c>
      <c r="C49" s="61"/>
      <c r="D49" s="61"/>
      <c r="E49" s="61">
        <v>59.45</v>
      </c>
      <c r="F49" s="61"/>
      <c r="G49" s="61">
        <f t="shared" si="26"/>
        <v>59.45</v>
      </c>
      <c r="H49" s="62" t="s">
        <v>18</v>
      </c>
      <c r="I49" s="61">
        <v>4954</v>
      </c>
      <c r="J49" s="86">
        <f t="shared" si="27"/>
        <v>120.004037141704</v>
      </c>
      <c r="K49" s="61"/>
      <c r="L49" s="61"/>
      <c r="M49" s="61">
        <v>12.7146</v>
      </c>
      <c r="N49" s="61">
        <v>55.9985</v>
      </c>
      <c r="O49" s="61"/>
      <c r="P49" s="61">
        <f t="shared" si="28"/>
        <v>68.7131</v>
      </c>
      <c r="Q49" s="62" t="str">
        <f t="shared" si="29"/>
        <v>m²</v>
      </c>
      <c r="R49" s="61">
        <f>R45+R46</f>
        <v>5779.6</v>
      </c>
      <c r="S49" s="61">
        <f t="shared" si="30"/>
        <v>118.889023461831</v>
      </c>
      <c r="T49" s="100"/>
    </row>
    <row r="50" s="41" customFormat="1" ht="23" customHeight="1" outlineLevel="2" spans="1:20">
      <c r="A50" s="59">
        <v>6</v>
      </c>
      <c r="B50" s="60" t="s">
        <v>68</v>
      </c>
      <c r="C50" s="61"/>
      <c r="D50" s="61"/>
      <c r="E50" s="61">
        <v>49.54</v>
      </c>
      <c r="F50" s="61"/>
      <c r="G50" s="61">
        <f t="shared" si="26"/>
        <v>49.54</v>
      </c>
      <c r="H50" s="62" t="s">
        <v>18</v>
      </c>
      <c r="I50" s="61">
        <v>4954</v>
      </c>
      <c r="J50" s="86">
        <f t="shared" si="27"/>
        <v>100</v>
      </c>
      <c r="K50" s="61"/>
      <c r="L50" s="61"/>
      <c r="M50" s="61"/>
      <c r="N50" s="61">
        <v>48.7392</v>
      </c>
      <c r="O50" s="61"/>
      <c r="P50" s="61">
        <f t="shared" si="28"/>
        <v>48.7392</v>
      </c>
      <c r="Q50" s="62" t="str">
        <f t="shared" si="29"/>
        <v>m²</v>
      </c>
      <c r="R50" s="61">
        <f>R49</f>
        <v>5779.6</v>
      </c>
      <c r="S50" s="61">
        <f t="shared" si="30"/>
        <v>84.3297113987127</v>
      </c>
      <c r="T50" s="100"/>
    </row>
    <row r="51" s="41" customFormat="1" ht="23" customHeight="1" outlineLevel="2" spans="1:20">
      <c r="A51" s="59">
        <v>7</v>
      </c>
      <c r="B51" s="60" t="s">
        <v>69</v>
      </c>
      <c r="C51" s="61"/>
      <c r="D51" s="61"/>
      <c r="E51" s="61">
        <v>99.08</v>
      </c>
      <c r="F51" s="61"/>
      <c r="G51" s="61">
        <f t="shared" si="26"/>
        <v>99.08</v>
      </c>
      <c r="H51" s="62" t="s">
        <v>18</v>
      </c>
      <c r="I51" s="61">
        <v>4954</v>
      </c>
      <c r="J51" s="86">
        <f t="shared" si="27"/>
        <v>200</v>
      </c>
      <c r="K51" s="61"/>
      <c r="L51" s="61"/>
      <c r="M51" s="61">
        <v>2.238</v>
      </c>
      <c r="N51" s="61">
        <v>84.9779</v>
      </c>
      <c r="O51" s="61"/>
      <c r="P51" s="61">
        <f t="shared" si="28"/>
        <v>87.2159</v>
      </c>
      <c r="Q51" s="62" t="str">
        <f t="shared" si="29"/>
        <v>m²</v>
      </c>
      <c r="R51" s="61">
        <f>R50</f>
        <v>5779.6</v>
      </c>
      <c r="S51" s="61">
        <f t="shared" si="30"/>
        <v>150.903003668074</v>
      </c>
      <c r="T51" s="100"/>
    </row>
    <row r="52" ht="23" customHeight="1" outlineLevel="2" spans="1:20">
      <c r="A52" s="67"/>
      <c r="B52" s="69" t="s">
        <v>70</v>
      </c>
      <c r="C52" s="65">
        <f t="shared" ref="C52:G52" si="31">SUM(C45:C51)</f>
        <v>178.15</v>
      </c>
      <c r="D52" s="66"/>
      <c r="E52" s="65">
        <f t="shared" si="31"/>
        <v>208.07</v>
      </c>
      <c r="F52" s="66"/>
      <c r="G52" s="65">
        <f t="shared" si="31"/>
        <v>386.22</v>
      </c>
      <c r="H52" s="66"/>
      <c r="I52" s="66"/>
      <c r="J52" s="88"/>
      <c r="K52" s="66"/>
      <c r="L52" s="65">
        <f t="shared" ref="L52:N52" si="32">SUM(L45:L51)</f>
        <v>227.8999</v>
      </c>
      <c r="M52" s="65">
        <f t="shared" si="32"/>
        <v>14.9526</v>
      </c>
      <c r="N52" s="65">
        <f t="shared" si="32"/>
        <v>189.7156</v>
      </c>
      <c r="O52" s="66"/>
      <c r="P52" s="65">
        <f>SUM(P45:P51)</f>
        <v>432.5681</v>
      </c>
      <c r="Q52" s="66"/>
      <c r="R52" s="66"/>
      <c r="S52" s="66"/>
      <c r="T52" s="98"/>
    </row>
    <row r="53" ht="23" customHeight="1" outlineLevel="1" spans="1:20">
      <c r="A53" s="55" t="s">
        <v>71</v>
      </c>
      <c r="B53" s="56" t="s">
        <v>72</v>
      </c>
      <c r="C53" s="58"/>
      <c r="D53" s="58"/>
      <c r="E53" s="58"/>
      <c r="F53" s="58"/>
      <c r="G53" s="58"/>
      <c r="H53" s="58"/>
      <c r="I53" s="58"/>
      <c r="J53" s="85"/>
      <c r="K53" s="58"/>
      <c r="L53" s="58"/>
      <c r="M53" s="58"/>
      <c r="N53" s="58"/>
      <c r="O53" s="58"/>
      <c r="P53" s="58"/>
      <c r="Q53" s="58"/>
      <c r="R53" s="58"/>
      <c r="S53" s="58"/>
      <c r="T53" s="95"/>
    </row>
    <row r="54" s="41" customFormat="1" ht="23" customHeight="1" outlineLevel="2" spans="1:20">
      <c r="A54" s="59">
        <v>1</v>
      </c>
      <c r="B54" s="70" t="s">
        <v>73</v>
      </c>
      <c r="C54" s="61">
        <v>4</v>
      </c>
      <c r="D54" s="61"/>
      <c r="E54" s="61"/>
      <c r="F54" s="61"/>
      <c r="G54" s="61">
        <f t="shared" ref="G54:G90" si="33">SUM(C54:F54)</f>
        <v>4</v>
      </c>
      <c r="H54" s="62" t="s">
        <v>18</v>
      </c>
      <c r="I54" s="61">
        <v>20</v>
      </c>
      <c r="J54" s="86">
        <f t="shared" ref="J54:J56" si="34">+G54/I54*10000</f>
        <v>2000</v>
      </c>
      <c r="K54" s="61"/>
      <c r="L54" s="61">
        <v>10.019</v>
      </c>
      <c r="M54" s="61"/>
      <c r="N54" s="61"/>
      <c r="O54" s="61"/>
      <c r="P54" s="61">
        <f t="shared" ref="P54:P90" si="35">SUM(L54:O54)</f>
        <v>10.019</v>
      </c>
      <c r="Q54" s="62" t="str">
        <f>H54</f>
        <v>m²</v>
      </c>
      <c r="R54" s="61">
        <v>29.69</v>
      </c>
      <c r="S54" s="61">
        <f t="shared" ref="S54:S56" si="36">+P54/R54*10000</f>
        <v>3374.53688110475</v>
      </c>
      <c r="T54" s="100"/>
    </row>
    <row r="55" s="41" customFormat="1" ht="23" customHeight="1" outlineLevel="2" spans="1:20">
      <c r="A55" s="59">
        <v>2</v>
      </c>
      <c r="B55" s="70" t="s">
        <v>74</v>
      </c>
      <c r="C55" s="61"/>
      <c r="D55" s="61"/>
      <c r="E55" s="61">
        <v>6</v>
      </c>
      <c r="F55" s="61"/>
      <c r="G55" s="61">
        <f t="shared" si="33"/>
        <v>6</v>
      </c>
      <c r="H55" s="62" t="s">
        <v>18</v>
      </c>
      <c r="I55" s="61">
        <v>20</v>
      </c>
      <c r="J55" s="86">
        <f t="shared" si="34"/>
        <v>3000</v>
      </c>
      <c r="K55" s="61"/>
      <c r="L55" s="61"/>
      <c r="M55" s="61"/>
      <c r="N55" s="61">
        <v>2.4823</v>
      </c>
      <c r="O55" s="61"/>
      <c r="P55" s="61">
        <f t="shared" si="35"/>
        <v>2.4823</v>
      </c>
      <c r="Q55" s="62" t="str">
        <f>H55</f>
        <v>m²</v>
      </c>
      <c r="R55" s="61">
        <v>29.69</v>
      </c>
      <c r="S55" s="61">
        <f t="shared" si="36"/>
        <v>836.072751768272</v>
      </c>
      <c r="T55" s="100"/>
    </row>
    <row r="56" ht="23" customHeight="1" outlineLevel="2" spans="1:20">
      <c r="A56" s="67"/>
      <c r="B56" s="69" t="s">
        <v>75</v>
      </c>
      <c r="C56" s="65">
        <f t="shared" ref="C56:G56" si="37">SUM(C54:C55)</f>
        <v>4</v>
      </c>
      <c r="D56" s="66"/>
      <c r="E56" s="65">
        <f t="shared" si="37"/>
        <v>6</v>
      </c>
      <c r="F56" s="66"/>
      <c r="G56" s="65">
        <f t="shared" si="37"/>
        <v>10</v>
      </c>
      <c r="H56" s="66" t="s">
        <v>18</v>
      </c>
      <c r="I56" s="66">
        <v>20</v>
      </c>
      <c r="J56" s="87">
        <f t="shared" si="34"/>
        <v>5000</v>
      </c>
      <c r="K56" s="66"/>
      <c r="L56" s="65">
        <f t="shared" ref="L56:N56" si="38">SUM(L54:L55)</f>
        <v>10.019</v>
      </c>
      <c r="M56" s="65">
        <f t="shared" si="38"/>
        <v>0</v>
      </c>
      <c r="N56" s="65">
        <f t="shared" si="38"/>
        <v>2.4823</v>
      </c>
      <c r="O56" s="66"/>
      <c r="P56" s="65">
        <f>SUM(P54:P55)</f>
        <v>12.5013</v>
      </c>
      <c r="Q56" s="66" t="s">
        <v>18</v>
      </c>
      <c r="R56" s="66">
        <v>29.69</v>
      </c>
      <c r="S56" s="65">
        <f t="shared" si="36"/>
        <v>4210.60963287302</v>
      </c>
      <c r="T56" s="98"/>
    </row>
    <row r="57" s="2" customFormat="1" ht="23" customHeight="1" spans="1:20">
      <c r="A57" s="55" t="s">
        <v>76</v>
      </c>
      <c r="B57" s="56" t="s">
        <v>77</v>
      </c>
      <c r="C57" s="57"/>
      <c r="D57" s="57"/>
      <c r="E57" s="57"/>
      <c r="F57" s="57">
        <f>F58+F62+F66+F68+F71+F72+F73+F74+F75+F76+F77+F78+F79+F80+F81+F82+F83</f>
        <v>641.48</v>
      </c>
      <c r="G57" s="57">
        <f>G58+G62+G66+G68+G71+G72+G73+G74+G75+G76+G77+G78+G79+G80+G81+G82+G83</f>
        <v>641.48</v>
      </c>
      <c r="H57" s="57"/>
      <c r="I57" s="57"/>
      <c r="J57" s="89"/>
      <c r="K57" s="57"/>
      <c r="L57" s="57"/>
      <c r="M57" s="57"/>
      <c r="N57" s="57"/>
      <c r="O57" s="57">
        <f ca="1">O58+O62+O66+O68+O71+O72+O73+O74+O75+O76+O77+O78+O79+O80+O81+O82+O83</f>
        <v>499.476959715294</v>
      </c>
      <c r="P57" s="57">
        <f ca="1">P58+P62+P66+P68+P71+P72+P73+P74+P75+P76+P77+P78+P79+P80+P81+P82+P83</f>
        <v>499.476959715294</v>
      </c>
      <c r="Q57" s="57"/>
      <c r="R57" s="57"/>
      <c r="S57" s="57"/>
      <c r="T57" s="101"/>
    </row>
    <row r="58" ht="23" hidden="1" customHeight="1" outlineLevel="1" collapsed="1" spans="1:20">
      <c r="A58" s="71" t="s">
        <v>78</v>
      </c>
      <c r="B58" s="72" t="s">
        <v>79</v>
      </c>
      <c r="C58" s="73"/>
      <c r="D58" s="73"/>
      <c r="E58" s="73"/>
      <c r="F58" s="73">
        <f>SUM(F59:F61)</f>
        <v>22.89</v>
      </c>
      <c r="G58" s="73">
        <f t="shared" si="33"/>
        <v>22.89</v>
      </c>
      <c r="H58" s="73"/>
      <c r="I58" s="73"/>
      <c r="J58" s="90"/>
      <c r="K58" s="73"/>
      <c r="L58" s="91"/>
      <c r="M58" s="91"/>
      <c r="N58" s="91"/>
      <c r="O58" s="91">
        <f ca="1">工程建设其他费用计算表02表!E5</f>
        <v>22.88604298</v>
      </c>
      <c r="P58" s="91">
        <f ca="1" t="shared" si="35"/>
        <v>22.88604298</v>
      </c>
      <c r="Q58" s="73"/>
      <c r="R58" s="91"/>
      <c r="S58" s="91"/>
      <c r="T58" s="102"/>
    </row>
    <row r="59" s="41" customFormat="1" ht="23" hidden="1" customHeight="1" outlineLevel="2" spans="1:20">
      <c r="A59" s="59">
        <v>1</v>
      </c>
      <c r="B59" s="68" t="s">
        <v>80</v>
      </c>
      <c r="C59" s="74"/>
      <c r="D59" s="74"/>
      <c r="E59" s="74"/>
      <c r="F59" s="74">
        <v>6.83</v>
      </c>
      <c r="G59" s="74">
        <f t="shared" si="33"/>
        <v>6.83</v>
      </c>
      <c r="H59" s="74"/>
      <c r="I59" s="74"/>
      <c r="J59" s="86"/>
      <c r="K59" s="74"/>
      <c r="L59" s="61"/>
      <c r="M59" s="61"/>
      <c r="N59" s="61"/>
      <c r="O59" s="61">
        <f ca="1">工程建设其他费用计算表02表!E6</f>
        <v>6.82694298</v>
      </c>
      <c r="P59" s="61">
        <f ca="1" t="shared" si="35"/>
        <v>6.82694298</v>
      </c>
      <c r="Q59" s="74"/>
      <c r="R59" s="61"/>
      <c r="S59" s="61"/>
      <c r="T59" s="103"/>
    </row>
    <row r="60" s="41" customFormat="1" ht="23" hidden="1" customHeight="1" outlineLevel="2" spans="1:20">
      <c r="A60" s="59">
        <v>2</v>
      </c>
      <c r="B60" s="68" t="s">
        <v>81</v>
      </c>
      <c r="C60" s="74"/>
      <c r="D60" s="74"/>
      <c r="E60" s="74"/>
      <c r="F60" s="74">
        <v>5.66</v>
      </c>
      <c r="G60" s="74">
        <f t="shared" si="33"/>
        <v>5.66</v>
      </c>
      <c r="H60" s="74"/>
      <c r="I60" s="74"/>
      <c r="J60" s="86"/>
      <c r="K60" s="74"/>
      <c r="L60" s="61"/>
      <c r="M60" s="61"/>
      <c r="N60" s="61"/>
      <c r="O60" s="61">
        <f ca="1">工程建设其他费用计算表02表!E7</f>
        <v>5.6591</v>
      </c>
      <c r="P60" s="61">
        <f ca="1" t="shared" si="35"/>
        <v>5.6591</v>
      </c>
      <c r="Q60" s="74"/>
      <c r="R60" s="61"/>
      <c r="S60" s="61"/>
      <c r="T60" s="103"/>
    </row>
    <row r="61" s="41" customFormat="1" ht="23" hidden="1" customHeight="1" outlineLevel="2" spans="1:20">
      <c r="A61" s="59">
        <v>3</v>
      </c>
      <c r="B61" s="68" t="s">
        <v>82</v>
      </c>
      <c r="C61" s="74"/>
      <c r="D61" s="74"/>
      <c r="E61" s="74"/>
      <c r="F61" s="74">
        <v>10.4</v>
      </c>
      <c r="G61" s="74">
        <f t="shared" si="33"/>
        <v>10.4</v>
      </c>
      <c r="H61" s="74"/>
      <c r="I61" s="74"/>
      <c r="J61" s="86"/>
      <c r="K61" s="74"/>
      <c r="L61" s="61"/>
      <c r="M61" s="61"/>
      <c r="N61" s="61"/>
      <c r="O61" s="61">
        <f ca="1">工程建设其他费用计算表02表!E8</f>
        <v>10.4</v>
      </c>
      <c r="P61" s="61">
        <f ca="1" t="shared" si="35"/>
        <v>10.4</v>
      </c>
      <c r="Q61" s="74"/>
      <c r="R61" s="61"/>
      <c r="S61" s="61"/>
      <c r="T61" s="103"/>
    </row>
    <row r="62" ht="23" hidden="1" customHeight="1" outlineLevel="1" collapsed="1" spans="1:20">
      <c r="A62" s="71" t="s">
        <v>83</v>
      </c>
      <c r="B62" s="72" t="s">
        <v>84</v>
      </c>
      <c r="C62" s="73"/>
      <c r="D62" s="73"/>
      <c r="E62" s="73"/>
      <c r="F62" s="73">
        <f>SUM(F63:F65)</f>
        <v>264.25</v>
      </c>
      <c r="G62" s="73">
        <f t="shared" si="33"/>
        <v>264.25</v>
      </c>
      <c r="H62" s="73"/>
      <c r="I62" s="73"/>
      <c r="J62" s="90"/>
      <c r="K62" s="73"/>
      <c r="L62" s="91"/>
      <c r="M62" s="91"/>
      <c r="N62" s="91"/>
      <c r="O62" s="91">
        <f ca="1">工程建设其他费用计算表02表!E9</f>
        <v>178.8803332</v>
      </c>
      <c r="P62" s="91">
        <f ca="1" t="shared" si="35"/>
        <v>178.8803332</v>
      </c>
      <c r="Q62" s="73"/>
      <c r="R62" s="91"/>
      <c r="S62" s="91"/>
      <c r="T62" s="102"/>
    </row>
    <row r="63" s="41" customFormat="1" ht="23" hidden="1" customHeight="1" outlineLevel="2" spans="1:20">
      <c r="A63" s="59">
        <v>1</v>
      </c>
      <c r="B63" s="68" t="s">
        <v>85</v>
      </c>
      <c r="C63" s="74"/>
      <c r="D63" s="74"/>
      <c r="E63" s="74"/>
      <c r="F63" s="74">
        <v>106.09</v>
      </c>
      <c r="G63" s="74">
        <f t="shared" si="33"/>
        <v>106.09</v>
      </c>
      <c r="H63" s="74"/>
      <c r="I63" s="74"/>
      <c r="J63" s="86"/>
      <c r="K63" s="74"/>
      <c r="L63" s="61"/>
      <c r="M63" s="61"/>
      <c r="N63" s="61"/>
      <c r="O63" s="61">
        <f ca="1">工程建设其他费用计算表02表!E10</f>
        <v>70.4348</v>
      </c>
      <c r="P63" s="61">
        <f ca="1" t="shared" si="35"/>
        <v>70.4348</v>
      </c>
      <c r="Q63" s="74"/>
      <c r="R63" s="61"/>
      <c r="S63" s="61"/>
      <c r="T63" s="103"/>
    </row>
    <row r="64" s="41" customFormat="1" ht="23" hidden="1" customHeight="1" outlineLevel="2" spans="1:20">
      <c r="A64" s="59">
        <v>2</v>
      </c>
      <c r="B64" s="68" t="s">
        <v>86</v>
      </c>
      <c r="C64" s="74"/>
      <c r="D64" s="74"/>
      <c r="E64" s="74"/>
      <c r="F64" s="74">
        <v>124.4</v>
      </c>
      <c r="G64" s="74">
        <f t="shared" si="33"/>
        <v>124.4</v>
      </c>
      <c r="H64" s="74"/>
      <c r="I64" s="74"/>
      <c r="J64" s="86"/>
      <c r="K64" s="74"/>
      <c r="L64" s="61"/>
      <c r="M64" s="61"/>
      <c r="N64" s="61"/>
      <c r="O64" s="61">
        <f ca="1">工程建设其他费用计算表02表!E11</f>
        <v>75.0298724</v>
      </c>
      <c r="P64" s="61">
        <f ca="1" t="shared" si="35"/>
        <v>75.0298724</v>
      </c>
      <c r="Q64" s="74"/>
      <c r="R64" s="61"/>
      <c r="S64" s="61"/>
      <c r="T64" s="103"/>
    </row>
    <row r="65" s="41" customFormat="1" ht="23" hidden="1" customHeight="1" outlineLevel="2" spans="1:20">
      <c r="A65" s="59">
        <v>3</v>
      </c>
      <c r="B65" s="68" t="s">
        <v>87</v>
      </c>
      <c r="C65" s="74"/>
      <c r="D65" s="74"/>
      <c r="E65" s="74"/>
      <c r="F65" s="74">
        <v>33.76</v>
      </c>
      <c r="G65" s="74">
        <f t="shared" si="33"/>
        <v>33.76</v>
      </c>
      <c r="H65" s="74"/>
      <c r="I65" s="74"/>
      <c r="J65" s="86"/>
      <c r="K65" s="74"/>
      <c r="L65" s="61"/>
      <c r="M65" s="61"/>
      <c r="N65" s="61"/>
      <c r="O65" s="61">
        <f ca="1">工程建设其他费用计算表02表!E12</f>
        <v>33.4156608</v>
      </c>
      <c r="P65" s="61">
        <f ca="1" t="shared" si="35"/>
        <v>33.4156608</v>
      </c>
      <c r="Q65" s="74"/>
      <c r="R65" s="61"/>
      <c r="S65" s="61"/>
      <c r="T65" s="103"/>
    </row>
    <row r="66" ht="23" hidden="1" customHeight="1" outlineLevel="1" collapsed="1" spans="1:20">
      <c r="A66" s="71" t="s">
        <v>88</v>
      </c>
      <c r="B66" s="72" t="s">
        <v>89</v>
      </c>
      <c r="C66" s="73"/>
      <c r="D66" s="73"/>
      <c r="E66" s="73"/>
      <c r="F66" s="73">
        <f>SUM(F67:F67)</f>
        <v>17.23</v>
      </c>
      <c r="G66" s="73">
        <f t="shared" si="33"/>
        <v>17.23</v>
      </c>
      <c r="H66" s="73"/>
      <c r="I66" s="73"/>
      <c r="J66" s="90"/>
      <c r="K66" s="73"/>
      <c r="L66" s="91"/>
      <c r="M66" s="91"/>
      <c r="N66" s="91"/>
      <c r="O66" s="91">
        <f ca="1">工程建设其他费用计算表02表!E13</f>
        <v>10.82</v>
      </c>
      <c r="P66" s="91">
        <f ca="1" t="shared" si="35"/>
        <v>10.82</v>
      </c>
      <c r="Q66" s="73"/>
      <c r="R66" s="91"/>
      <c r="S66" s="91"/>
      <c r="T66" s="102"/>
    </row>
    <row r="67" s="41" customFormat="1" ht="23" hidden="1" customHeight="1" outlineLevel="2" spans="1:20">
      <c r="A67" s="59">
        <v>1</v>
      </c>
      <c r="B67" s="68" t="s">
        <v>90</v>
      </c>
      <c r="C67" s="74"/>
      <c r="D67" s="74"/>
      <c r="E67" s="74"/>
      <c r="F67" s="74">
        <v>17.23</v>
      </c>
      <c r="G67" s="74">
        <f t="shared" si="33"/>
        <v>17.23</v>
      </c>
      <c r="H67" s="74"/>
      <c r="I67" s="74"/>
      <c r="J67" s="86"/>
      <c r="K67" s="74"/>
      <c r="L67" s="61"/>
      <c r="M67" s="61"/>
      <c r="N67" s="61"/>
      <c r="O67" s="61">
        <f ca="1">工程建设其他费用计算表02表!E14</f>
        <v>10.82</v>
      </c>
      <c r="P67" s="61">
        <f ca="1" t="shared" si="35"/>
        <v>10.82</v>
      </c>
      <c r="Q67" s="74"/>
      <c r="R67" s="61"/>
      <c r="S67" s="61"/>
      <c r="T67" s="103"/>
    </row>
    <row r="68" ht="23" hidden="1" customHeight="1" outlineLevel="1" collapsed="1" spans="1:20">
      <c r="A68" s="71" t="s">
        <v>91</v>
      </c>
      <c r="B68" s="72" t="s">
        <v>92</v>
      </c>
      <c r="C68" s="73"/>
      <c r="D68" s="73"/>
      <c r="E68" s="73"/>
      <c r="F68" s="73">
        <f>SUM(F69:F70)</f>
        <v>181.4</v>
      </c>
      <c r="G68" s="73">
        <f t="shared" si="33"/>
        <v>181.4</v>
      </c>
      <c r="H68" s="73"/>
      <c r="I68" s="73"/>
      <c r="J68" s="90"/>
      <c r="K68" s="73"/>
      <c r="L68" s="91"/>
      <c r="M68" s="91"/>
      <c r="N68" s="91"/>
      <c r="O68" s="91">
        <f ca="1">工程建设其他费用计算表02表!E15</f>
        <v>121.9394</v>
      </c>
      <c r="P68" s="91">
        <f ca="1" t="shared" si="35"/>
        <v>121.9394</v>
      </c>
      <c r="Q68" s="73"/>
      <c r="R68" s="91"/>
      <c r="S68" s="91"/>
      <c r="T68" s="102"/>
    </row>
    <row r="69" s="41" customFormat="1" ht="23" hidden="1" customHeight="1" outlineLevel="2" spans="1:20">
      <c r="A69" s="59">
        <v>1</v>
      </c>
      <c r="B69" s="68" t="s">
        <v>93</v>
      </c>
      <c r="C69" s="74"/>
      <c r="D69" s="74"/>
      <c r="E69" s="74"/>
      <c r="F69" s="74">
        <v>35.27</v>
      </c>
      <c r="G69" s="74">
        <f t="shared" si="33"/>
        <v>35.27</v>
      </c>
      <c r="H69" s="74"/>
      <c r="I69" s="74"/>
      <c r="J69" s="86"/>
      <c r="K69" s="74"/>
      <c r="L69" s="61"/>
      <c r="M69" s="61"/>
      <c r="N69" s="61"/>
      <c r="O69" s="61">
        <f ca="1">工程建设其他费用计算表02表!E16</f>
        <v>25</v>
      </c>
      <c r="P69" s="61">
        <f ca="1" t="shared" si="35"/>
        <v>25</v>
      </c>
      <c r="Q69" s="74"/>
      <c r="R69" s="61"/>
      <c r="S69" s="61"/>
      <c r="T69" s="103"/>
    </row>
    <row r="70" s="41" customFormat="1" ht="23" hidden="1" customHeight="1" outlineLevel="2" spans="1:20">
      <c r="A70" s="59">
        <v>2</v>
      </c>
      <c r="B70" s="68" t="s">
        <v>94</v>
      </c>
      <c r="C70" s="74"/>
      <c r="D70" s="74"/>
      <c r="E70" s="74"/>
      <c r="F70" s="74">
        <v>146.13</v>
      </c>
      <c r="G70" s="74">
        <f t="shared" si="33"/>
        <v>146.13</v>
      </c>
      <c r="H70" s="74"/>
      <c r="I70" s="74"/>
      <c r="J70" s="86"/>
      <c r="K70" s="74"/>
      <c r="L70" s="61"/>
      <c r="M70" s="61"/>
      <c r="N70" s="61"/>
      <c r="O70" s="61">
        <f ca="1">工程建设其他费用计算表02表!E17</f>
        <v>96.9394</v>
      </c>
      <c r="P70" s="61">
        <f ca="1" t="shared" si="35"/>
        <v>96.9394</v>
      </c>
      <c r="Q70" s="74"/>
      <c r="R70" s="61"/>
      <c r="S70" s="61"/>
      <c r="T70" s="103"/>
    </row>
    <row r="71" s="41" customFormat="1" ht="23" hidden="1" customHeight="1" outlineLevel="1" spans="1:20">
      <c r="A71" s="59" t="s">
        <v>95</v>
      </c>
      <c r="B71" s="68" t="s">
        <v>96</v>
      </c>
      <c r="C71" s="74"/>
      <c r="D71" s="74"/>
      <c r="E71" s="74"/>
      <c r="F71" s="74">
        <v>1.2</v>
      </c>
      <c r="G71" s="74">
        <f t="shared" si="33"/>
        <v>1.2</v>
      </c>
      <c r="H71" s="74"/>
      <c r="I71" s="74"/>
      <c r="J71" s="86"/>
      <c r="K71" s="74"/>
      <c r="L71" s="61"/>
      <c r="M71" s="61"/>
      <c r="N71" s="61"/>
      <c r="O71" s="61">
        <f ca="1">工程建设其他费用计算表02表!E18</f>
        <v>1.19570823529412</v>
      </c>
      <c r="P71" s="61">
        <f ca="1" t="shared" si="35"/>
        <v>1.19570823529412</v>
      </c>
      <c r="Q71" s="74"/>
      <c r="R71" s="61"/>
      <c r="S71" s="61"/>
      <c r="T71" s="103"/>
    </row>
    <row r="72" s="41" customFormat="1" ht="23" hidden="1" customHeight="1" outlineLevel="1" spans="1:20">
      <c r="A72" s="59" t="s">
        <v>97</v>
      </c>
      <c r="B72" s="68" t="s">
        <v>98</v>
      </c>
      <c r="C72" s="74"/>
      <c r="D72" s="74"/>
      <c r="E72" s="74"/>
      <c r="F72" s="74">
        <v>2.3</v>
      </c>
      <c r="G72" s="74">
        <f t="shared" si="33"/>
        <v>2.3</v>
      </c>
      <c r="H72" s="74"/>
      <c r="I72" s="74"/>
      <c r="J72" s="86"/>
      <c r="K72" s="74"/>
      <c r="L72" s="61"/>
      <c r="M72" s="61"/>
      <c r="N72" s="61"/>
      <c r="O72" s="61">
        <f ca="1">工程建设其他费用计算表02表!E19</f>
        <v>2.304</v>
      </c>
      <c r="P72" s="61">
        <f ca="1" t="shared" si="35"/>
        <v>2.304</v>
      </c>
      <c r="Q72" s="74"/>
      <c r="R72" s="61"/>
      <c r="S72" s="61"/>
      <c r="T72" s="103"/>
    </row>
    <row r="73" s="41" customFormat="1" ht="23" hidden="1" customHeight="1" outlineLevel="1" spans="1:20">
      <c r="A73" s="59" t="s">
        <v>99</v>
      </c>
      <c r="B73" s="68" t="s">
        <v>100</v>
      </c>
      <c r="C73" s="74"/>
      <c r="D73" s="74"/>
      <c r="E73" s="74"/>
      <c r="F73" s="74">
        <v>4.41</v>
      </c>
      <c r="G73" s="74">
        <f t="shared" si="33"/>
        <v>4.41</v>
      </c>
      <c r="H73" s="74"/>
      <c r="I73" s="74"/>
      <c r="J73" s="86"/>
      <c r="K73" s="74"/>
      <c r="L73" s="61"/>
      <c r="M73" s="61"/>
      <c r="N73" s="61"/>
      <c r="O73" s="61">
        <f ca="1">工程建设其他费用计算表02表!E20</f>
        <v>4.36232</v>
      </c>
      <c r="P73" s="61">
        <f ca="1" t="shared" si="35"/>
        <v>4.36232</v>
      </c>
      <c r="Q73" s="74"/>
      <c r="R73" s="61"/>
      <c r="S73" s="61"/>
      <c r="T73" s="103"/>
    </row>
    <row r="74" s="41" customFormat="1" ht="23" hidden="1" customHeight="1" outlineLevel="1" spans="1:20">
      <c r="A74" s="59" t="s">
        <v>101</v>
      </c>
      <c r="B74" s="68" t="s">
        <v>102</v>
      </c>
      <c r="C74" s="74"/>
      <c r="D74" s="74"/>
      <c r="E74" s="74"/>
      <c r="F74" s="74">
        <v>22.04</v>
      </c>
      <c r="G74" s="74">
        <f t="shared" si="33"/>
        <v>22.04</v>
      </c>
      <c r="H74" s="74"/>
      <c r="I74" s="74"/>
      <c r="J74" s="86"/>
      <c r="K74" s="74"/>
      <c r="L74" s="61"/>
      <c r="M74" s="61"/>
      <c r="N74" s="61"/>
      <c r="O74" s="61">
        <f ca="1">工程建设其他费用计算表02表!E21</f>
        <v>21.8116</v>
      </c>
      <c r="P74" s="61">
        <f ca="1" t="shared" si="35"/>
        <v>21.8116</v>
      </c>
      <c r="Q74" s="74"/>
      <c r="R74" s="61"/>
      <c r="S74" s="61"/>
      <c r="T74" s="103"/>
    </row>
    <row r="75" s="41" customFormat="1" ht="23" hidden="1" customHeight="1" outlineLevel="1" spans="1:20">
      <c r="A75" s="59" t="s">
        <v>103</v>
      </c>
      <c r="B75" s="68" t="s">
        <v>104</v>
      </c>
      <c r="C75" s="74"/>
      <c r="D75" s="74"/>
      <c r="E75" s="74"/>
      <c r="F75" s="74">
        <v>13.23</v>
      </c>
      <c r="G75" s="74">
        <f t="shared" si="33"/>
        <v>13.23</v>
      </c>
      <c r="H75" s="74"/>
      <c r="I75" s="74"/>
      <c r="J75" s="86"/>
      <c r="K75" s="74"/>
      <c r="L75" s="61"/>
      <c r="M75" s="61"/>
      <c r="N75" s="61"/>
      <c r="O75" s="61">
        <f ca="1">工程建设其他费用计算表02表!E22</f>
        <v>13.08696</v>
      </c>
      <c r="P75" s="61">
        <f ca="1" t="shared" si="35"/>
        <v>13.08696</v>
      </c>
      <c r="Q75" s="74"/>
      <c r="R75" s="61"/>
      <c r="S75" s="61"/>
      <c r="T75" s="103"/>
    </row>
    <row r="76" s="41" customFormat="1" ht="23" hidden="1" customHeight="1" outlineLevel="1" spans="1:20">
      <c r="A76" s="59" t="s">
        <v>105</v>
      </c>
      <c r="B76" s="68" t="s">
        <v>106</v>
      </c>
      <c r="C76" s="74"/>
      <c r="D76" s="74"/>
      <c r="E76" s="74"/>
      <c r="F76" s="74">
        <v>30.92</v>
      </c>
      <c r="G76" s="74">
        <f t="shared" si="33"/>
        <v>30.92</v>
      </c>
      <c r="H76" s="74"/>
      <c r="I76" s="74"/>
      <c r="J76" s="86"/>
      <c r="K76" s="74"/>
      <c r="L76" s="61"/>
      <c r="M76" s="61"/>
      <c r="N76" s="61"/>
      <c r="O76" s="61">
        <f ca="1">工程建设其他费用计算表02表!E23</f>
        <v>30.69662</v>
      </c>
      <c r="P76" s="61">
        <f ca="1" t="shared" si="35"/>
        <v>30.69662</v>
      </c>
      <c r="Q76" s="74"/>
      <c r="R76" s="61"/>
      <c r="S76" s="61"/>
      <c r="T76" s="103"/>
    </row>
    <row r="77" s="41" customFormat="1" ht="23" hidden="1" customHeight="1" outlineLevel="1" spans="1:20">
      <c r="A77" s="104" t="s">
        <v>107</v>
      </c>
      <c r="B77" s="68" t="s">
        <v>108</v>
      </c>
      <c r="C77" s="74"/>
      <c r="D77" s="74"/>
      <c r="E77" s="74"/>
      <c r="F77" s="74">
        <v>6.91</v>
      </c>
      <c r="G77" s="74">
        <f t="shared" si="33"/>
        <v>6.91</v>
      </c>
      <c r="H77" s="74"/>
      <c r="I77" s="74"/>
      <c r="J77" s="86"/>
      <c r="K77" s="74"/>
      <c r="L77" s="61"/>
      <c r="M77" s="61"/>
      <c r="N77" s="61"/>
      <c r="O77" s="61">
        <f ca="1">工程建设其他费用计算表02表!E24</f>
        <v>6.86232</v>
      </c>
      <c r="P77" s="61">
        <f ca="1" t="shared" si="35"/>
        <v>6.86232</v>
      </c>
      <c r="Q77" s="74"/>
      <c r="R77" s="61"/>
      <c r="S77" s="61"/>
      <c r="T77" s="103"/>
    </row>
    <row r="78" s="41" customFormat="1" ht="23" hidden="1" customHeight="1" outlineLevel="1" spans="1:20">
      <c r="A78" s="104" t="s">
        <v>109</v>
      </c>
      <c r="B78" s="68" t="s">
        <v>110</v>
      </c>
      <c r="C78" s="74"/>
      <c r="D78" s="74"/>
      <c r="E78" s="74"/>
      <c r="F78" s="74">
        <v>20.53</v>
      </c>
      <c r="G78" s="74">
        <f t="shared" si="33"/>
        <v>20.53</v>
      </c>
      <c r="H78" s="74"/>
      <c r="I78" s="74"/>
      <c r="J78" s="86"/>
      <c r="K78" s="74"/>
      <c r="L78" s="61"/>
      <c r="M78" s="61"/>
      <c r="N78" s="61"/>
      <c r="O78" s="61">
        <f ca="1">工程建设其他费用计算表02表!E25</f>
        <v>20.21658</v>
      </c>
      <c r="P78" s="61">
        <f ca="1" t="shared" si="35"/>
        <v>20.21658</v>
      </c>
      <c r="Q78" s="74"/>
      <c r="R78" s="61"/>
      <c r="S78" s="61"/>
      <c r="T78" s="103"/>
    </row>
    <row r="79" s="41" customFormat="1" ht="23" hidden="1" customHeight="1" outlineLevel="1" spans="1:20">
      <c r="A79" s="104" t="s">
        <v>111</v>
      </c>
      <c r="B79" s="68" t="s">
        <v>112</v>
      </c>
      <c r="C79" s="74"/>
      <c r="D79" s="74"/>
      <c r="E79" s="74"/>
      <c r="F79" s="74">
        <v>0.38</v>
      </c>
      <c r="G79" s="74">
        <f t="shared" si="33"/>
        <v>0.38</v>
      </c>
      <c r="H79" s="74"/>
      <c r="I79" s="74"/>
      <c r="J79" s="86"/>
      <c r="K79" s="74"/>
      <c r="L79" s="61"/>
      <c r="M79" s="61"/>
      <c r="N79" s="61"/>
      <c r="O79" s="61">
        <f ca="1">工程建设其他费用计算表02表!E26</f>
        <v>0.3706373</v>
      </c>
      <c r="P79" s="61">
        <f ca="1" t="shared" si="35"/>
        <v>0.3706373</v>
      </c>
      <c r="Q79" s="74"/>
      <c r="R79" s="61"/>
      <c r="S79" s="61"/>
      <c r="T79" s="103"/>
    </row>
    <row r="80" s="41" customFormat="1" ht="23" hidden="1" customHeight="1" outlineLevel="1" spans="1:20">
      <c r="A80" s="104" t="s">
        <v>113</v>
      </c>
      <c r="B80" s="68" t="s">
        <v>114</v>
      </c>
      <c r="C80" s="74"/>
      <c r="D80" s="74"/>
      <c r="E80" s="74"/>
      <c r="F80" s="74">
        <v>3.61</v>
      </c>
      <c r="G80" s="74">
        <f t="shared" si="33"/>
        <v>3.61</v>
      </c>
      <c r="H80" s="74"/>
      <c r="I80" s="74"/>
      <c r="J80" s="86"/>
      <c r="K80" s="74"/>
      <c r="L80" s="61"/>
      <c r="M80" s="61"/>
      <c r="N80" s="61"/>
      <c r="O80" s="61">
        <f ca="1">工程建设其他费用计算表02表!E27</f>
        <v>5.1112</v>
      </c>
      <c r="P80" s="61">
        <f ca="1" t="shared" si="35"/>
        <v>5.1112</v>
      </c>
      <c r="Q80" s="74"/>
      <c r="R80" s="61"/>
      <c r="S80" s="61"/>
      <c r="T80" s="103"/>
    </row>
    <row r="81" s="41" customFormat="1" ht="23" hidden="1" customHeight="1" outlineLevel="1" spans="1:20">
      <c r="A81" s="104" t="s">
        <v>115</v>
      </c>
      <c r="B81" s="68" t="s">
        <v>116</v>
      </c>
      <c r="C81" s="74"/>
      <c r="D81" s="74"/>
      <c r="E81" s="74"/>
      <c r="F81" s="74">
        <v>19.01</v>
      </c>
      <c r="G81" s="74">
        <f t="shared" si="33"/>
        <v>19.01</v>
      </c>
      <c r="H81" s="74"/>
      <c r="I81" s="74"/>
      <c r="J81" s="86"/>
      <c r="K81" s="74"/>
      <c r="L81" s="61"/>
      <c r="M81" s="61"/>
      <c r="N81" s="61"/>
      <c r="O81" s="61">
        <f ca="1">工程建设其他费用计算表02表!E28</f>
        <v>19.13169</v>
      </c>
      <c r="P81" s="61">
        <f ca="1" t="shared" si="35"/>
        <v>19.13169</v>
      </c>
      <c r="Q81" s="74"/>
      <c r="R81" s="61"/>
      <c r="S81" s="61"/>
      <c r="T81" s="103"/>
    </row>
    <row r="82" s="41" customFormat="1" ht="23" hidden="1" customHeight="1" outlineLevel="1" spans="1:20">
      <c r="A82" s="104" t="s">
        <v>117</v>
      </c>
      <c r="B82" s="68" t="s">
        <v>118</v>
      </c>
      <c r="C82" s="74"/>
      <c r="D82" s="74"/>
      <c r="E82" s="74"/>
      <c r="F82" s="74">
        <v>25</v>
      </c>
      <c r="G82" s="74">
        <f t="shared" si="33"/>
        <v>25</v>
      </c>
      <c r="H82" s="74"/>
      <c r="I82" s="74"/>
      <c r="J82" s="86"/>
      <c r="K82" s="74"/>
      <c r="L82" s="61"/>
      <c r="M82" s="61"/>
      <c r="N82" s="61"/>
      <c r="O82" s="61">
        <f ca="1">工程建设其他费用计算表02表!E29</f>
        <v>33.6943</v>
      </c>
      <c r="P82" s="61">
        <f ca="1" t="shared" si="35"/>
        <v>33.6943</v>
      </c>
      <c r="Q82" s="74"/>
      <c r="R82" s="61"/>
      <c r="S82" s="61"/>
      <c r="T82" s="103"/>
    </row>
    <row r="83" s="41" customFormat="1" ht="23" hidden="1" customHeight="1" outlineLevel="1" spans="1:20">
      <c r="A83" s="104" t="s">
        <v>119</v>
      </c>
      <c r="B83" s="68" t="s">
        <v>120</v>
      </c>
      <c r="C83" s="74"/>
      <c r="D83" s="74"/>
      <c r="E83" s="74"/>
      <c r="F83" s="74">
        <v>6.17</v>
      </c>
      <c r="G83" s="74">
        <f t="shared" si="33"/>
        <v>6.17</v>
      </c>
      <c r="H83" s="74"/>
      <c r="I83" s="74"/>
      <c r="J83" s="86"/>
      <c r="K83" s="74"/>
      <c r="L83" s="61"/>
      <c r="M83" s="61"/>
      <c r="N83" s="61"/>
      <c r="O83" s="61">
        <f ca="1">工程建设其他费用计算表02表!E30</f>
        <v>6.107248</v>
      </c>
      <c r="P83" s="61">
        <f ca="1" t="shared" si="35"/>
        <v>6.107248</v>
      </c>
      <c r="Q83" s="74"/>
      <c r="R83" s="61"/>
      <c r="S83" s="61"/>
      <c r="T83" s="103"/>
    </row>
    <row r="84" ht="23" customHeight="1" outlineLevel="1" spans="1:20">
      <c r="A84" s="67"/>
      <c r="B84" s="69" t="s">
        <v>121</v>
      </c>
      <c r="C84" s="65"/>
      <c r="D84" s="66"/>
      <c r="E84" s="65"/>
      <c r="F84" s="65">
        <f>SUM(F69:F83,F66,F62,F58)</f>
        <v>641.48</v>
      </c>
      <c r="G84" s="65">
        <f t="shared" si="33"/>
        <v>641.48</v>
      </c>
      <c r="H84" s="65" t="s">
        <v>18</v>
      </c>
      <c r="I84" s="65">
        <v>6668</v>
      </c>
      <c r="J84" s="87">
        <f t="shared" ref="J84:J89" si="39">+G84/I84*10000</f>
        <v>962.027594481104</v>
      </c>
      <c r="K84" s="66"/>
      <c r="L84" s="65"/>
      <c r="M84" s="65"/>
      <c r="N84" s="65"/>
      <c r="O84" s="65">
        <f ca="1">工程建设其他费用计算表02表!E31</f>
        <v>499.476959715294</v>
      </c>
      <c r="P84" s="65">
        <f ca="1" t="shared" si="35"/>
        <v>499.476959715294</v>
      </c>
      <c r="Q84" s="65" t="s">
        <v>18</v>
      </c>
      <c r="R84" s="65">
        <f>R7</f>
        <v>6738.86</v>
      </c>
      <c r="S84" s="65">
        <f ca="1" t="shared" ref="S84:S89" si="40">+P84/R84*10000</f>
        <v>741.189102778948</v>
      </c>
      <c r="T84" s="98"/>
    </row>
    <row r="85" ht="23" customHeight="1" spans="1:20">
      <c r="A85" s="55" t="s">
        <v>122</v>
      </c>
      <c r="B85" s="105" t="s">
        <v>123</v>
      </c>
      <c r="C85" s="105"/>
      <c r="D85" s="57">
        <f>SUM(D86:D88)</f>
        <v>1507.7</v>
      </c>
      <c r="E85" s="105"/>
      <c r="F85" s="106"/>
      <c r="G85" s="106">
        <f t="shared" si="33"/>
        <v>1507.7</v>
      </c>
      <c r="H85" s="106"/>
      <c r="I85" s="57"/>
      <c r="J85" s="89"/>
      <c r="K85" s="105"/>
      <c r="L85" s="114"/>
      <c r="M85" s="57">
        <f>SUM(M86:M88)</f>
        <v>1507.7</v>
      </c>
      <c r="N85" s="114"/>
      <c r="O85" s="57"/>
      <c r="P85" s="57">
        <f t="shared" si="35"/>
        <v>1507.7</v>
      </c>
      <c r="Q85" s="106"/>
      <c r="R85" s="57"/>
      <c r="S85" s="57"/>
      <c r="T85" s="123"/>
    </row>
    <row r="86" s="42" customFormat="1" ht="23" customHeight="1" outlineLevel="1" spans="1:20">
      <c r="A86" s="107">
        <v>1</v>
      </c>
      <c r="B86" s="108" t="s">
        <v>124</v>
      </c>
      <c r="C86" s="108"/>
      <c r="D86" s="62">
        <v>28.2</v>
      </c>
      <c r="E86" s="108"/>
      <c r="F86" s="109"/>
      <c r="G86" s="62">
        <f t="shared" si="33"/>
        <v>28.2</v>
      </c>
      <c r="H86" s="109" t="s">
        <v>51</v>
      </c>
      <c r="I86" s="109">
        <v>1</v>
      </c>
      <c r="J86" s="115">
        <f t="shared" si="39"/>
        <v>282000</v>
      </c>
      <c r="K86" s="108"/>
      <c r="L86" s="116"/>
      <c r="M86" s="62">
        <v>28.2</v>
      </c>
      <c r="N86" s="116"/>
      <c r="O86" s="62"/>
      <c r="P86" s="62">
        <f t="shared" si="35"/>
        <v>28.2</v>
      </c>
      <c r="Q86" s="109" t="s">
        <v>51</v>
      </c>
      <c r="R86" s="62">
        <v>1</v>
      </c>
      <c r="S86" s="124">
        <f t="shared" si="40"/>
        <v>282000</v>
      </c>
      <c r="T86" s="125"/>
    </row>
    <row r="87" s="42" customFormat="1" ht="23" customHeight="1" outlineLevel="1" spans="1:20">
      <c r="A87" s="107">
        <v>2</v>
      </c>
      <c r="B87" s="108" t="s">
        <v>125</v>
      </c>
      <c r="C87" s="108"/>
      <c r="D87" s="62">
        <v>125</v>
      </c>
      <c r="E87" s="108"/>
      <c r="F87" s="108"/>
      <c r="G87" s="62">
        <f t="shared" si="33"/>
        <v>125</v>
      </c>
      <c r="H87" s="109" t="s">
        <v>51</v>
      </c>
      <c r="I87" s="109">
        <v>1</v>
      </c>
      <c r="J87" s="115">
        <f t="shared" si="39"/>
        <v>1250000</v>
      </c>
      <c r="K87" s="108"/>
      <c r="L87" s="116"/>
      <c r="M87" s="62">
        <v>125</v>
      </c>
      <c r="N87" s="116"/>
      <c r="O87" s="116"/>
      <c r="P87" s="62">
        <f t="shared" si="35"/>
        <v>125</v>
      </c>
      <c r="Q87" s="109" t="s">
        <v>51</v>
      </c>
      <c r="R87" s="62">
        <v>1</v>
      </c>
      <c r="S87" s="124">
        <f t="shared" si="40"/>
        <v>1250000</v>
      </c>
      <c r="T87" s="125"/>
    </row>
    <row r="88" s="42" customFormat="1" ht="23" customHeight="1" outlineLevel="1" spans="1:20">
      <c r="A88" s="107">
        <v>3</v>
      </c>
      <c r="B88" s="108" t="s">
        <v>126</v>
      </c>
      <c r="C88" s="108"/>
      <c r="D88" s="62">
        <v>1354.5</v>
      </c>
      <c r="E88" s="108"/>
      <c r="F88" s="108"/>
      <c r="G88" s="62">
        <f t="shared" si="33"/>
        <v>1354.5</v>
      </c>
      <c r="H88" s="109" t="s">
        <v>51</v>
      </c>
      <c r="I88" s="109">
        <v>1</v>
      </c>
      <c r="J88" s="115">
        <f t="shared" si="39"/>
        <v>13545000</v>
      </c>
      <c r="K88" s="108"/>
      <c r="L88" s="116"/>
      <c r="M88" s="62">
        <v>1354.5</v>
      </c>
      <c r="N88" s="116"/>
      <c r="O88" s="116"/>
      <c r="P88" s="62">
        <f t="shared" si="35"/>
        <v>1354.5</v>
      </c>
      <c r="Q88" s="109" t="s">
        <v>51</v>
      </c>
      <c r="R88" s="62">
        <v>1</v>
      </c>
      <c r="S88" s="124">
        <f t="shared" si="40"/>
        <v>13545000</v>
      </c>
      <c r="T88" s="125"/>
    </row>
    <row r="89" ht="23" customHeight="1" spans="1:20">
      <c r="A89" s="55" t="s">
        <v>127</v>
      </c>
      <c r="B89" s="105" t="s">
        <v>128</v>
      </c>
      <c r="C89" s="105"/>
      <c r="D89" s="105"/>
      <c r="E89" s="105"/>
      <c r="F89" s="106">
        <f>SUM(F90:F90)</f>
        <v>326.75</v>
      </c>
      <c r="G89" s="106">
        <f t="shared" si="33"/>
        <v>326.75</v>
      </c>
      <c r="H89" s="106" t="s">
        <v>18</v>
      </c>
      <c r="I89" s="57">
        <v>6668</v>
      </c>
      <c r="J89" s="89">
        <f t="shared" si="39"/>
        <v>490.02699460108</v>
      </c>
      <c r="K89" s="105"/>
      <c r="L89" s="114"/>
      <c r="M89" s="57"/>
      <c r="N89" s="114"/>
      <c r="O89" s="57">
        <f ca="1">SUM(O90:O90)</f>
        <v>190.398294502059</v>
      </c>
      <c r="P89" s="57">
        <f ca="1" t="shared" si="35"/>
        <v>190.398294502059</v>
      </c>
      <c r="Q89" s="106" t="s">
        <v>18</v>
      </c>
      <c r="R89" s="57">
        <f>+R84</f>
        <v>6738.86</v>
      </c>
      <c r="S89" s="57">
        <f ca="1" t="shared" si="40"/>
        <v>282.537839489259</v>
      </c>
      <c r="T89" s="123"/>
    </row>
    <row r="90" s="41" customFormat="1" ht="31" customHeight="1" outlineLevel="1" spans="1:20">
      <c r="A90" s="107">
        <v>1</v>
      </c>
      <c r="B90" s="108" t="s">
        <v>129</v>
      </c>
      <c r="C90" s="108"/>
      <c r="D90" s="108"/>
      <c r="E90" s="108"/>
      <c r="F90" s="109">
        <v>326.75</v>
      </c>
      <c r="G90" s="109">
        <f t="shared" si="33"/>
        <v>326.75</v>
      </c>
      <c r="H90" s="110" t="s">
        <v>130</v>
      </c>
      <c r="I90" s="110"/>
      <c r="J90" s="117"/>
      <c r="K90" s="110"/>
      <c r="L90" s="116"/>
      <c r="M90" s="62"/>
      <c r="N90" s="116"/>
      <c r="O90" s="62">
        <f ca="1">+(P84+P7+P85-P58)*0.03</f>
        <v>190.398294502059</v>
      </c>
      <c r="P90" s="62">
        <f ca="1" t="shared" si="35"/>
        <v>190.398294502059</v>
      </c>
      <c r="Q90" s="110" t="s">
        <v>131</v>
      </c>
      <c r="R90" s="62"/>
      <c r="S90" s="62"/>
      <c r="T90" s="126"/>
    </row>
    <row r="91" ht="23" customHeight="1" spans="1:20">
      <c r="A91" s="55" t="s">
        <v>132</v>
      </c>
      <c r="B91" s="105" t="s">
        <v>133</v>
      </c>
      <c r="C91" s="106">
        <f t="shared" ref="C91:G91" si="41">C7+C57+C85+C89</f>
        <v>2942.98</v>
      </c>
      <c r="D91" s="106">
        <f t="shared" si="41"/>
        <v>2216.94</v>
      </c>
      <c r="E91" s="106">
        <f t="shared" si="41"/>
        <v>756.44</v>
      </c>
      <c r="F91" s="106">
        <f t="shared" si="41"/>
        <v>968.23</v>
      </c>
      <c r="G91" s="106">
        <f t="shared" si="41"/>
        <v>6884.59</v>
      </c>
      <c r="H91" s="106" t="s">
        <v>18</v>
      </c>
      <c r="I91" s="57">
        <v>6668</v>
      </c>
      <c r="J91" s="89">
        <f>+G91/I91*10000</f>
        <v>10324.8200359928</v>
      </c>
      <c r="K91" s="105"/>
      <c r="L91" s="57">
        <f t="shared" ref="L91:P91" si="42">L7+L57+L85+L89</f>
        <v>2697.5655</v>
      </c>
      <c r="M91" s="57">
        <f t="shared" si="42"/>
        <v>2007.8412</v>
      </c>
      <c r="N91" s="57">
        <f t="shared" si="42"/>
        <v>1164.6122</v>
      </c>
      <c r="O91" s="57">
        <f ca="1" t="shared" si="42"/>
        <v>689.875254217353</v>
      </c>
      <c r="P91" s="57">
        <f ca="1" t="shared" si="42"/>
        <v>6559.89415421735</v>
      </c>
      <c r="Q91" s="57" t="s">
        <v>18</v>
      </c>
      <c r="R91" s="57">
        <f>+R89</f>
        <v>6738.86</v>
      </c>
      <c r="S91" s="57">
        <f ca="1">+P91/R91*10000</f>
        <v>9734.42712004308</v>
      </c>
      <c r="T91" s="123"/>
    </row>
    <row r="92" ht="23" customHeight="1" spans="1:20">
      <c r="A92" s="55" t="s">
        <v>134</v>
      </c>
      <c r="B92" s="105" t="s">
        <v>135</v>
      </c>
      <c r="C92" s="105"/>
      <c r="D92" s="105"/>
      <c r="E92" s="105"/>
      <c r="F92" s="106">
        <v>289.23</v>
      </c>
      <c r="G92" s="106">
        <f>SUM(C92:F92)</f>
        <v>289.23</v>
      </c>
      <c r="H92" s="105"/>
      <c r="I92" s="105"/>
      <c r="J92" s="118"/>
      <c r="K92" s="105"/>
      <c r="L92" s="114"/>
      <c r="M92" s="57"/>
      <c r="N92" s="114"/>
      <c r="O92" s="57">
        <v>289.23</v>
      </c>
      <c r="P92" s="119">
        <f>SUM(L92:O92)</f>
        <v>289.23</v>
      </c>
      <c r="Q92" s="114"/>
      <c r="R92" s="114"/>
      <c r="S92" s="114"/>
      <c r="T92" s="123"/>
    </row>
    <row r="93" ht="23" customHeight="1" spans="1:20">
      <c r="A93" s="111" t="s">
        <v>136</v>
      </c>
      <c r="B93" s="112" t="s">
        <v>137</v>
      </c>
      <c r="C93" s="113">
        <f t="shared" ref="C93:G93" si="43">+C91+C92</f>
        <v>2942.98</v>
      </c>
      <c r="D93" s="113">
        <f t="shared" si="43"/>
        <v>2216.94</v>
      </c>
      <c r="E93" s="113">
        <f t="shared" si="43"/>
        <v>756.44</v>
      </c>
      <c r="F93" s="113">
        <f t="shared" si="43"/>
        <v>1257.46</v>
      </c>
      <c r="G93" s="113">
        <f t="shared" si="43"/>
        <v>7173.82</v>
      </c>
      <c r="H93" s="113" t="s">
        <v>18</v>
      </c>
      <c r="I93" s="57">
        <v>6668</v>
      </c>
      <c r="J93" s="120">
        <f>+G93/I93*10000</f>
        <v>10758.5782843431</v>
      </c>
      <c r="K93" s="112"/>
      <c r="L93" s="121">
        <f t="shared" ref="L93:P93" si="44">+L91+L92</f>
        <v>2697.5655</v>
      </c>
      <c r="M93" s="121">
        <f t="shared" si="44"/>
        <v>2007.8412</v>
      </c>
      <c r="N93" s="121">
        <f t="shared" si="44"/>
        <v>1164.6122</v>
      </c>
      <c r="O93" s="121">
        <f ca="1" t="shared" si="44"/>
        <v>979.105254217353</v>
      </c>
      <c r="P93" s="122">
        <f ca="1" t="shared" si="44"/>
        <v>6849.12415421735</v>
      </c>
      <c r="Q93" s="121" t="s">
        <v>18</v>
      </c>
      <c r="R93" s="121">
        <f>+R89</f>
        <v>6738.86</v>
      </c>
      <c r="S93" s="121">
        <f ca="1">+P93/R93*10000</f>
        <v>10163.6243433123</v>
      </c>
      <c r="T93" s="127"/>
    </row>
  </sheetData>
  <sheetProtection formatCells="0" insertHyperlinks="0" autoFilter="0"/>
  <autoFilter xmlns:etc="http://www.wps.cn/officeDocument/2017/etCustomData" ref="A5:T93" etc:filterBottomFollowUsedRange="0">
    <extLst/>
  </autoFilter>
  <mergeCells count="12">
    <mergeCell ref="A2:T2"/>
    <mergeCell ref="A3:T3"/>
    <mergeCell ref="C4:G4"/>
    <mergeCell ref="H4:J4"/>
    <mergeCell ref="L4:P4"/>
    <mergeCell ref="Q4:S4"/>
    <mergeCell ref="H90:K90"/>
    <mergeCell ref="Q90:T90"/>
    <mergeCell ref="A4:A5"/>
    <mergeCell ref="B4:B5"/>
    <mergeCell ref="K4:K5"/>
    <mergeCell ref="T4:T5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workbookViewId="0">
      <selection activeCell="I8" sqref="I8"/>
    </sheetView>
  </sheetViews>
  <sheetFormatPr defaultColWidth="9" defaultRowHeight="13.5"/>
  <cols>
    <col min="1" max="1" width="7.875" style="1" customWidth="1"/>
    <col min="2" max="2" width="14.5" style="1" customWidth="1"/>
    <col min="3" max="3" width="6" style="1" customWidth="1"/>
    <col min="4" max="4" width="12.7583333333333" style="31" customWidth="1"/>
    <col min="5" max="5" width="12.7583333333333" style="1" customWidth="1"/>
    <col min="6" max="6" width="12.125" style="31" customWidth="1"/>
    <col min="7" max="7" width="10.5" style="1" customWidth="1"/>
  </cols>
  <sheetData>
    <row r="1" s="1" customFormat="1" ht="30" customHeight="1" spans="1:10">
      <c r="A1" s="3" t="s">
        <v>221</v>
      </c>
      <c r="B1" s="3"/>
      <c r="C1" s="3"/>
      <c r="D1" s="3"/>
      <c r="E1" s="3"/>
      <c r="F1" s="3"/>
      <c r="G1" s="3"/>
      <c r="J1" s="28"/>
    </row>
    <row r="2" s="1" customFormat="1" ht="30" customHeight="1" spans="1:20">
      <c r="A2" s="32" t="s">
        <v>222</v>
      </c>
      <c r="B2" s="32"/>
      <c r="C2" s="32"/>
      <c r="D2" s="33"/>
      <c r="E2" s="32"/>
      <c r="F2" s="33"/>
      <c r="G2" s="32"/>
      <c r="H2" s="34"/>
      <c r="I2" s="34"/>
      <c r="J2" s="39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="1" customFormat="1" ht="20" customHeight="1" spans="1:20">
      <c r="A3" s="5" t="s">
        <v>217</v>
      </c>
      <c r="B3" s="5"/>
      <c r="C3" s="5"/>
      <c r="D3" s="6"/>
      <c r="E3" s="5"/>
      <c r="F3" s="6"/>
      <c r="G3" s="5"/>
      <c r="H3" s="5"/>
      <c r="I3" s="5"/>
      <c r="J3" s="29"/>
      <c r="K3" s="5"/>
      <c r="L3" s="5"/>
      <c r="M3" s="5"/>
      <c r="N3" s="5"/>
      <c r="O3" s="6"/>
      <c r="P3" s="6"/>
      <c r="Q3" s="5"/>
      <c r="R3" s="5"/>
      <c r="S3" s="5"/>
      <c r="T3" s="5"/>
    </row>
    <row r="4" s="30" customFormat="1" ht="25" customHeight="1" spans="1:7">
      <c r="A4" s="35" t="s">
        <v>147</v>
      </c>
      <c r="B4" s="35" t="s">
        <v>223</v>
      </c>
      <c r="C4" s="35" t="s">
        <v>224</v>
      </c>
      <c r="D4" s="36" t="s">
        <v>225</v>
      </c>
      <c r="E4" s="35" t="s">
        <v>226</v>
      </c>
      <c r="F4" s="36" t="s">
        <v>227</v>
      </c>
      <c r="G4" s="35" t="s">
        <v>6</v>
      </c>
    </row>
    <row r="5" ht="25" customHeight="1" spans="1:7">
      <c r="A5" s="37">
        <v>1</v>
      </c>
      <c r="B5" s="37" t="s">
        <v>228</v>
      </c>
      <c r="C5" s="37" t="s">
        <v>229</v>
      </c>
      <c r="D5" s="18">
        <v>3928.13</v>
      </c>
      <c r="E5" s="37">
        <v>6738.86</v>
      </c>
      <c r="F5" s="18">
        <f t="shared" ref="F5:F30" si="0">D5/E5</f>
        <v>0.582907197953363</v>
      </c>
      <c r="G5" s="37"/>
    </row>
    <row r="6" ht="25" customHeight="1" spans="1:7">
      <c r="A6" s="37">
        <v>2</v>
      </c>
      <c r="B6" s="37" t="s">
        <v>230</v>
      </c>
      <c r="C6" s="37" t="s">
        <v>231</v>
      </c>
      <c r="D6" s="18">
        <v>433.49</v>
      </c>
      <c r="E6" s="37">
        <v>6738.86</v>
      </c>
      <c r="F6" s="18">
        <f t="shared" si="0"/>
        <v>0.0643269039570491</v>
      </c>
      <c r="G6" s="37"/>
    </row>
    <row r="7" ht="25" customHeight="1" spans="1:7">
      <c r="A7" s="37">
        <v>3</v>
      </c>
      <c r="B7" s="37" t="s">
        <v>232</v>
      </c>
      <c r="C7" s="37" t="s">
        <v>231</v>
      </c>
      <c r="D7" s="18">
        <v>1078.08</v>
      </c>
      <c r="E7" s="37">
        <v>6738.86</v>
      </c>
      <c r="F7" s="18">
        <f t="shared" si="0"/>
        <v>0.159979581116094</v>
      </c>
      <c r="G7" s="37"/>
    </row>
    <row r="8" ht="25" customHeight="1" spans="1:7">
      <c r="A8" s="37">
        <v>4</v>
      </c>
      <c r="B8" s="37" t="s">
        <v>233</v>
      </c>
      <c r="C8" s="37" t="s">
        <v>229</v>
      </c>
      <c r="D8" s="18">
        <v>1280.22</v>
      </c>
      <c r="E8" s="37">
        <v>6738.86</v>
      </c>
      <c r="F8" s="18">
        <f t="shared" si="0"/>
        <v>0.189975752575361</v>
      </c>
      <c r="G8" s="37"/>
    </row>
    <row r="9" ht="25" customHeight="1" spans="1:7">
      <c r="A9" s="37">
        <v>5</v>
      </c>
      <c r="B9" s="37" t="s">
        <v>234</v>
      </c>
      <c r="C9" s="37" t="s">
        <v>229</v>
      </c>
      <c r="D9" s="18">
        <v>1972.65</v>
      </c>
      <c r="E9" s="37">
        <v>6738.86</v>
      </c>
      <c r="F9" s="18">
        <f t="shared" si="0"/>
        <v>0.292727553325043</v>
      </c>
      <c r="G9" s="37"/>
    </row>
    <row r="10" ht="25" customHeight="1" spans="1:7">
      <c r="A10" s="37">
        <v>6</v>
      </c>
      <c r="B10" s="38" t="s">
        <v>235</v>
      </c>
      <c r="C10" s="37" t="s">
        <v>236</v>
      </c>
      <c r="D10" s="18">
        <v>1417.55</v>
      </c>
      <c r="E10" s="37">
        <v>6738.86</v>
      </c>
      <c r="F10" s="18">
        <f t="shared" si="0"/>
        <v>0.210354570357598</v>
      </c>
      <c r="G10" s="37"/>
    </row>
    <row r="11" ht="25" customHeight="1" spans="1:7">
      <c r="A11" s="37">
        <v>7</v>
      </c>
      <c r="B11" s="38" t="s">
        <v>237</v>
      </c>
      <c r="C11" s="37" t="s">
        <v>58</v>
      </c>
      <c r="D11" s="18">
        <v>69</v>
      </c>
      <c r="E11" s="37">
        <v>6738.86</v>
      </c>
      <c r="F11" s="18">
        <f t="shared" si="0"/>
        <v>0.0102391205634187</v>
      </c>
      <c r="G11" s="37"/>
    </row>
    <row r="12" ht="25" customHeight="1" spans="1:7">
      <c r="A12" s="37">
        <v>8</v>
      </c>
      <c r="B12" s="38" t="s">
        <v>238</v>
      </c>
      <c r="C12" s="37" t="s">
        <v>38</v>
      </c>
      <c r="D12" s="18">
        <v>435.259</v>
      </c>
      <c r="E12" s="37">
        <v>6738.86</v>
      </c>
      <c r="F12" s="18">
        <f t="shared" si="0"/>
        <v>0.0645894112654069</v>
      </c>
      <c r="G12" s="37"/>
    </row>
    <row r="13" ht="25" customHeight="1" spans="1:7">
      <c r="A13" s="37">
        <v>9</v>
      </c>
      <c r="B13" s="38" t="s">
        <v>239</v>
      </c>
      <c r="C13" s="37" t="s">
        <v>38</v>
      </c>
      <c r="D13" s="18">
        <v>1106.38</v>
      </c>
      <c r="E13" s="37">
        <v>6738.86</v>
      </c>
      <c r="F13" s="18">
        <f t="shared" si="0"/>
        <v>0.164179104477612</v>
      </c>
      <c r="G13" s="37"/>
    </row>
    <row r="14" ht="25" customHeight="1" spans="1:7">
      <c r="A14" s="37">
        <v>10</v>
      </c>
      <c r="B14" s="38" t="s">
        <v>240</v>
      </c>
      <c r="C14" s="37" t="s">
        <v>38</v>
      </c>
      <c r="D14" s="18">
        <v>24210.874</v>
      </c>
      <c r="E14" s="37">
        <v>6738.86</v>
      </c>
      <c r="F14" s="18">
        <f t="shared" si="0"/>
        <v>3.59272547582232</v>
      </c>
      <c r="G14" s="37"/>
    </row>
    <row r="15" ht="25" customHeight="1" spans="1:7">
      <c r="A15" s="37">
        <v>11</v>
      </c>
      <c r="B15" s="38" t="s">
        <v>241</v>
      </c>
      <c r="C15" s="37" t="s">
        <v>38</v>
      </c>
      <c r="D15" s="18">
        <v>441.474</v>
      </c>
      <c r="E15" s="37">
        <v>6738.86</v>
      </c>
      <c r="F15" s="18">
        <f t="shared" si="0"/>
        <v>0.0655116740813728</v>
      </c>
      <c r="G15" s="37"/>
    </row>
    <row r="16" ht="25" customHeight="1" spans="1:7">
      <c r="A16" s="37">
        <v>12</v>
      </c>
      <c r="B16" s="38" t="s">
        <v>242</v>
      </c>
      <c r="C16" s="37" t="s">
        <v>38</v>
      </c>
      <c r="D16" s="18">
        <v>10610.793</v>
      </c>
      <c r="E16" s="37">
        <v>6738.86</v>
      </c>
      <c r="F16" s="18">
        <f t="shared" si="0"/>
        <v>1.57456795363014</v>
      </c>
      <c r="G16" s="37"/>
    </row>
    <row r="17" ht="25" customHeight="1" spans="1:7">
      <c r="A17" s="37">
        <v>13</v>
      </c>
      <c r="B17" s="38" t="s">
        <v>243</v>
      </c>
      <c r="C17" s="37" t="s">
        <v>58</v>
      </c>
      <c r="D17" s="18">
        <v>2314</v>
      </c>
      <c r="E17" s="37">
        <v>6738.86</v>
      </c>
      <c r="F17" s="18">
        <f t="shared" si="0"/>
        <v>0.343381521503637</v>
      </c>
      <c r="G17" s="37"/>
    </row>
    <row r="18" ht="25" customHeight="1" spans="1:7">
      <c r="A18" s="37">
        <v>14</v>
      </c>
      <c r="B18" s="38" t="s">
        <v>244</v>
      </c>
      <c r="C18" s="37" t="s">
        <v>245</v>
      </c>
      <c r="D18" s="18">
        <v>222</v>
      </c>
      <c r="E18" s="37">
        <v>6738.86</v>
      </c>
      <c r="F18" s="18">
        <f t="shared" si="0"/>
        <v>0.0329432574649125</v>
      </c>
      <c r="G18" s="37"/>
    </row>
    <row r="19" ht="25" customHeight="1" spans="1:7">
      <c r="A19" s="37">
        <v>15</v>
      </c>
      <c r="B19" s="38" t="s">
        <v>246</v>
      </c>
      <c r="C19" s="37" t="s">
        <v>58</v>
      </c>
      <c r="D19" s="18">
        <v>78</v>
      </c>
      <c r="E19" s="37">
        <v>6738.86</v>
      </c>
      <c r="F19" s="18">
        <f t="shared" si="0"/>
        <v>0.0115746580282125</v>
      </c>
      <c r="G19" s="37"/>
    </row>
    <row r="20" ht="25" customHeight="1" spans="1:7">
      <c r="A20" s="37">
        <v>16</v>
      </c>
      <c r="B20" s="38" t="s">
        <v>247</v>
      </c>
      <c r="C20" s="37" t="s">
        <v>245</v>
      </c>
      <c r="D20" s="18">
        <v>42</v>
      </c>
      <c r="E20" s="37">
        <v>6738.86</v>
      </c>
      <c r="F20" s="18">
        <f t="shared" si="0"/>
        <v>0.00623250816903749</v>
      </c>
      <c r="G20" s="37"/>
    </row>
    <row r="21" ht="25" customHeight="1" spans="1:7">
      <c r="A21" s="37">
        <v>17</v>
      </c>
      <c r="B21" s="38" t="s">
        <v>248</v>
      </c>
      <c r="C21" s="37" t="s">
        <v>58</v>
      </c>
      <c r="D21" s="18">
        <v>1111</v>
      </c>
      <c r="E21" s="37">
        <v>6738.86</v>
      </c>
      <c r="F21" s="18">
        <f t="shared" si="0"/>
        <v>0.164864680376206</v>
      </c>
      <c r="G21" s="37"/>
    </row>
    <row r="22" ht="25" customHeight="1" spans="1:7">
      <c r="A22" s="37">
        <v>18</v>
      </c>
      <c r="B22" s="38" t="s">
        <v>249</v>
      </c>
      <c r="C22" s="37" t="s">
        <v>58</v>
      </c>
      <c r="D22" s="18">
        <v>4</v>
      </c>
      <c r="E22" s="37">
        <v>6738.86</v>
      </c>
      <c r="F22" s="18">
        <f t="shared" si="0"/>
        <v>0.000593572206574999</v>
      </c>
      <c r="G22" s="37"/>
    </row>
    <row r="23" ht="25" customHeight="1" spans="1:7">
      <c r="A23" s="37">
        <v>19</v>
      </c>
      <c r="B23" s="38" t="s">
        <v>250</v>
      </c>
      <c r="C23" s="37" t="s">
        <v>245</v>
      </c>
      <c r="D23" s="18">
        <v>903</v>
      </c>
      <c r="E23" s="37">
        <v>6738.86</v>
      </c>
      <c r="F23" s="18">
        <f t="shared" si="0"/>
        <v>0.133998925634306</v>
      </c>
      <c r="G23" s="37"/>
    </row>
    <row r="24" ht="25" customHeight="1" spans="1:7">
      <c r="A24" s="37">
        <v>20</v>
      </c>
      <c r="B24" s="38" t="s">
        <v>251</v>
      </c>
      <c r="C24" s="37" t="s">
        <v>58</v>
      </c>
      <c r="D24" s="18">
        <v>1162</v>
      </c>
      <c r="E24" s="37">
        <v>6738.86</v>
      </c>
      <c r="F24" s="18">
        <f t="shared" si="0"/>
        <v>0.172432726010037</v>
      </c>
      <c r="G24" s="37"/>
    </row>
    <row r="25" ht="25" customHeight="1" spans="1:7">
      <c r="A25" s="37">
        <v>21</v>
      </c>
      <c r="B25" s="38" t="s">
        <v>252</v>
      </c>
      <c r="C25" s="37" t="s">
        <v>38</v>
      </c>
      <c r="D25" s="18">
        <v>413.039</v>
      </c>
      <c r="E25" s="37">
        <v>6738.86</v>
      </c>
      <c r="F25" s="18">
        <f t="shared" si="0"/>
        <v>0.0612921176578828</v>
      </c>
      <c r="G25" s="37"/>
    </row>
    <row r="26" ht="25" customHeight="1" spans="1:7">
      <c r="A26" s="37">
        <v>22</v>
      </c>
      <c r="B26" s="38" t="s">
        <v>253</v>
      </c>
      <c r="C26" s="37" t="s">
        <v>38</v>
      </c>
      <c r="D26" s="18">
        <v>117141.121</v>
      </c>
      <c r="E26" s="37">
        <v>6738.86</v>
      </c>
      <c r="F26" s="18">
        <f t="shared" si="0"/>
        <v>17.3829284181598</v>
      </c>
      <c r="G26" s="37"/>
    </row>
    <row r="27" ht="25" customHeight="1" spans="1:7">
      <c r="A27" s="37">
        <v>23</v>
      </c>
      <c r="B27" s="38" t="s">
        <v>254</v>
      </c>
      <c r="C27" s="37" t="s">
        <v>38</v>
      </c>
      <c r="D27" s="18">
        <v>5181.232</v>
      </c>
      <c r="E27" s="37">
        <v>6738.86</v>
      </c>
      <c r="F27" s="18">
        <f t="shared" si="0"/>
        <v>0.768858827754249</v>
      </c>
      <c r="G27" s="37"/>
    </row>
    <row r="28" ht="25" customHeight="1" spans="1:7">
      <c r="A28" s="37">
        <v>24</v>
      </c>
      <c r="B28" s="38" t="s">
        <v>255</v>
      </c>
      <c r="C28" s="37" t="s">
        <v>256</v>
      </c>
      <c r="D28" s="18">
        <v>822</v>
      </c>
      <c r="E28" s="37">
        <v>6738.86</v>
      </c>
      <c r="F28" s="18">
        <f t="shared" si="0"/>
        <v>0.121979088451162</v>
      </c>
      <c r="G28" s="37"/>
    </row>
    <row r="29" ht="25" customHeight="1" spans="1:7">
      <c r="A29" s="37">
        <v>25</v>
      </c>
      <c r="B29" s="38" t="s">
        <v>257</v>
      </c>
      <c r="C29" s="37" t="s">
        <v>256</v>
      </c>
      <c r="D29" s="18">
        <v>76</v>
      </c>
      <c r="E29" s="37">
        <v>6738.86</v>
      </c>
      <c r="F29" s="18">
        <f t="shared" si="0"/>
        <v>0.011277871924925</v>
      </c>
      <c r="G29" s="37"/>
    </row>
    <row r="30" ht="25" customHeight="1" spans="1:7">
      <c r="A30" s="37">
        <v>26</v>
      </c>
      <c r="B30" s="38" t="s">
        <v>32</v>
      </c>
      <c r="C30" s="37" t="s">
        <v>258</v>
      </c>
      <c r="D30" s="18">
        <v>330</v>
      </c>
      <c r="E30" s="37">
        <v>6738.86</v>
      </c>
      <c r="F30" s="18">
        <f t="shared" si="0"/>
        <v>0.0489697070424375</v>
      </c>
      <c r="G30" s="37"/>
    </row>
  </sheetData>
  <mergeCells count="2">
    <mergeCell ref="A1:G1"/>
    <mergeCell ref="A2:G2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view="pageBreakPreview" zoomScaleNormal="100" workbookViewId="0">
      <selection activeCell="C8" sqref="C8"/>
    </sheetView>
  </sheetViews>
  <sheetFormatPr defaultColWidth="9" defaultRowHeight="13.5"/>
  <cols>
    <col min="1" max="1" width="9" customWidth="1"/>
    <col min="2" max="2" width="21.1833333333333" customWidth="1"/>
    <col min="3" max="3" width="24.5" customWidth="1"/>
    <col min="4" max="4" width="15.2583333333333" customWidth="1"/>
    <col min="5" max="5" width="15.875" customWidth="1"/>
    <col min="6" max="6" width="25.1833333333333" customWidth="1"/>
  </cols>
  <sheetData>
    <row r="1" s="1" customFormat="1" ht="30" customHeight="1" spans="1:11">
      <c r="A1" s="3" t="s">
        <v>259</v>
      </c>
      <c r="B1" s="3"/>
      <c r="C1" s="3"/>
      <c r="D1" s="3"/>
      <c r="E1" s="3"/>
      <c r="F1" s="3"/>
      <c r="G1" s="3"/>
      <c r="H1" s="3"/>
      <c r="K1" s="28"/>
    </row>
    <row r="2" ht="28" customHeight="1" spans="1:6">
      <c r="A2" s="4" t="s">
        <v>260</v>
      </c>
      <c r="B2" s="4"/>
      <c r="C2" s="4"/>
      <c r="D2" s="4"/>
      <c r="E2" s="4"/>
      <c r="F2" s="4"/>
    </row>
    <row r="3" s="1" customFormat="1" ht="20" customHeight="1" spans="1:20">
      <c r="A3" s="5" t="s">
        <v>217</v>
      </c>
      <c r="B3" s="5"/>
      <c r="C3" s="5"/>
      <c r="D3" s="6"/>
      <c r="E3" s="5"/>
      <c r="F3" s="6"/>
      <c r="G3" s="5"/>
      <c r="H3" s="5"/>
      <c r="I3" s="5"/>
      <c r="J3" s="29"/>
      <c r="K3" s="5"/>
      <c r="L3" s="5"/>
      <c r="M3" s="5"/>
      <c r="N3" s="5"/>
      <c r="O3" s="6"/>
      <c r="P3" s="6"/>
      <c r="Q3" s="5"/>
      <c r="R3" s="5"/>
      <c r="S3" s="5"/>
      <c r="T3" s="5"/>
    </row>
    <row r="4" s="2" customFormat="1" ht="25" customHeight="1" spans="1:6">
      <c r="A4" s="7" t="s">
        <v>147</v>
      </c>
      <c r="B4" s="8" t="s">
        <v>261</v>
      </c>
      <c r="C4" s="8" t="s">
        <v>262</v>
      </c>
      <c r="D4" s="8" t="s">
        <v>263</v>
      </c>
      <c r="E4" s="8"/>
      <c r="F4" s="9" t="s">
        <v>6</v>
      </c>
    </row>
    <row r="5" s="2" customFormat="1" ht="25" customHeight="1" spans="1:6">
      <c r="A5" s="10"/>
      <c r="B5" s="11"/>
      <c r="C5" s="11"/>
      <c r="D5" s="11" t="s">
        <v>264</v>
      </c>
      <c r="E5" s="11" t="s">
        <v>265</v>
      </c>
      <c r="F5" s="12"/>
    </row>
    <row r="6" s="2" customFormat="1" ht="25" customHeight="1" spans="1:6">
      <c r="A6" s="10">
        <v>1</v>
      </c>
      <c r="B6" s="11" t="s">
        <v>266</v>
      </c>
      <c r="C6" s="13">
        <f ca="1">C7+C8+C9</f>
        <v>6849.12415421735</v>
      </c>
      <c r="D6" s="13">
        <f>D7+D8+D9</f>
        <v>3765.64977507032</v>
      </c>
      <c r="E6" s="13">
        <f ca="1">E7+E8+E9</f>
        <v>3083.47833616703</v>
      </c>
      <c r="F6" s="14"/>
    </row>
    <row r="7" s="1" customFormat="1" ht="25" customHeight="1" spans="1:6">
      <c r="A7" s="15">
        <v>1.1</v>
      </c>
      <c r="B7" s="16" t="s">
        <v>267</v>
      </c>
      <c r="C7" s="17">
        <f ca="1">工程建设其他费用计算表02表!E5</f>
        <v>22.88604298</v>
      </c>
      <c r="D7" s="17">
        <v>22.89</v>
      </c>
      <c r="E7" s="18">
        <v>0</v>
      </c>
      <c r="F7" s="19"/>
    </row>
    <row r="8" s="1" customFormat="1" ht="25" customHeight="1" spans="1:6">
      <c r="A8" s="15" t="s">
        <v>268</v>
      </c>
      <c r="B8" s="16" t="s">
        <v>269</v>
      </c>
      <c r="C8" s="17">
        <f ca="1">工程概算表01表!P90-C7</f>
        <v>6537.00811123735</v>
      </c>
      <c r="D8" s="17">
        <f>3820.08/6861.7*6538.47</f>
        <v>3640.12977507032</v>
      </c>
      <c r="E8" s="18">
        <f ca="1">C8-D8</f>
        <v>2896.87833616703</v>
      </c>
      <c r="F8" s="19"/>
    </row>
    <row r="9" s="1" customFormat="1" ht="25" customHeight="1" spans="1:6">
      <c r="A9" s="15" t="s">
        <v>270</v>
      </c>
      <c r="B9" s="16" t="s">
        <v>271</v>
      </c>
      <c r="C9" s="17">
        <f>工程概算表01表!P91</f>
        <v>289.23</v>
      </c>
      <c r="D9" s="17">
        <v>102.63</v>
      </c>
      <c r="E9" s="18">
        <v>186.6</v>
      </c>
      <c r="F9" s="20" t="s">
        <v>272</v>
      </c>
    </row>
    <row r="10" s="2" customFormat="1" ht="25" customHeight="1" spans="1:6">
      <c r="A10" s="21" t="s">
        <v>273</v>
      </c>
      <c r="B10" s="11" t="s">
        <v>274</v>
      </c>
      <c r="C10" s="13">
        <f ca="1">C11+C12</f>
        <v>6849.12415421735</v>
      </c>
      <c r="D10" s="13">
        <f>D11+D12</f>
        <v>3765.64977507032</v>
      </c>
      <c r="E10" s="13">
        <f ca="1">E11+E12</f>
        <v>3083.47833616703</v>
      </c>
      <c r="F10" s="14"/>
    </row>
    <row r="11" s="1" customFormat="1" ht="25" customHeight="1" spans="1:6">
      <c r="A11" s="15" t="s">
        <v>275</v>
      </c>
      <c r="B11" s="16" t="s">
        <v>276</v>
      </c>
      <c r="C11" s="17">
        <f ca="1">C6-C12</f>
        <v>2184.12415421735</v>
      </c>
      <c r="D11" s="17">
        <f>D7+D8+D9-D12</f>
        <v>1199.84977507032</v>
      </c>
      <c r="E11" s="17">
        <f ca="1">E7+E8+E9-E12</f>
        <v>984.278336167034</v>
      </c>
      <c r="F11" s="22"/>
    </row>
    <row r="12" s="1" customFormat="1" ht="25" customHeight="1" spans="1:6">
      <c r="A12" s="23" t="s">
        <v>277</v>
      </c>
      <c r="B12" s="24" t="s">
        <v>278</v>
      </c>
      <c r="C12" s="25">
        <v>4665</v>
      </c>
      <c r="D12" s="25">
        <v>2565.8</v>
      </c>
      <c r="E12" s="26">
        <v>2099.2</v>
      </c>
      <c r="F12" s="27"/>
    </row>
  </sheetData>
  <mergeCells count="6">
    <mergeCell ref="A1:H1"/>
    <mergeCell ref="A2:F2"/>
    <mergeCell ref="D4:E4"/>
    <mergeCell ref="A4:A5"/>
    <mergeCell ref="B4:B5"/>
    <mergeCell ref="C4:C5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WWO_wpscloud_20240606201745-8705c88072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工程概算表01表</vt:lpstr>
      <vt:lpstr>工程建设其他费用计算表02表</vt:lpstr>
      <vt:lpstr>项目概算总投资简明表03表</vt:lpstr>
      <vt:lpstr>按费用性质划分主要经济指标表04表</vt:lpstr>
      <vt:lpstr>估算概算对比表</vt:lpstr>
      <vt:lpstr>估算概算指标对比表</vt:lpstr>
      <vt:lpstr>主要材料指标表</vt:lpstr>
      <vt:lpstr>资金计划表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刹华</cp:lastModifiedBy>
  <dcterms:created xsi:type="dcterms:W3CDTF">2020-03-27T15:41:00Z</dcterms:created>
  <dcterms:modified xsi:type="dcterms:W3CDTF">2024-12-11T06:17:58Z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880881648E20487F93520C8248027A10_13</vt:lpwstr>
  </property>
  <property fmtid="{D5CDD505-2E9C-101B-9397-08002B2CF9AE}" pid="3" name="KSOProductBuildVer">
    <vt:lpwstr>2052-12.1.0.19302</vt:lpwstr>
  </property>
</Properties>
</file>