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2" firstSheet="0" activeTab="0"/>
  </bookViews>
  <sheets>
    <sheet name="表1" sheetId="1" r:id="rId1"/>
    <sheet name="表" sheetId="2" state="hidden" r:id="rId2"/>
    <sheet name="表2" sheetId="3" r:id="rId3"/>
    <sheet name="表3表4" sheetId="4" r:id="rId4"/>
    <sheet name="表5" sheetId="5" r:id="rId5"/>
    <sheet name="Sheet2" sheetId="6" state="hidden" r:id="rId6"/>
    <sheet name="Sheet1 (2)" sheetId="7" state="hidden" r:id="rId7"/>
    <sheet name="Sheet1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UTO_ACTIVATE" hidden="1">'Macro1'!$A$2</definedName>
    <definedName name="_xlnm.Print_Area" localSheetId="1">'表'!$A$1:$F$56</definedName>
    <definedName name="_xlnm.Print_Area" localSheetId="0">'表1'!$A$1:$K$105</definedName>
    <definedName name="_xlnm.Print_Area" localSheetId="2">'表2'!$A$1:$F$60</definedName>
    <definedName name="_xlnm.Print_Area" localSheetId="3">'表3表4'!$A$2:$E$42</definedName>
    <definedName name="_xlnm.Print_Area" localSheetId="4">'表5'!$B$3:$H$6</definedName>
    <definedName name="_xlnm.Print_Titles" localSheetId="0">'表1'!$2:$4</definedName>
    <definedName name="安装工程费" localSheetId="6">'[1]表1'!#REF!</definedName>
    <definedName name="安装工程费" localSheetId="2">'[2]表1'!$D$40</definedName>
    <definedName name="安装工程费">'表1'!$D$49</definedName>
    <definedName name="房屋拆迁费" localSheetId="2">#REF!</definedName>
    <definedName name="房屋拆迁费">#REF!</definedName>
    <definedName name="钢材" localSheetId="2">#REF!</definedName>
    <definedName name="钢材">#REF!</definedName>
    <definedName name="钢绞线" localSheetId="2">#REF!</definedName>
    <definedName name="钢绞线">#REF!</definedName>
    <definedName name="工程费用" localSheetId="6">'[1]表1'!#REF!</definedName>
    <definedName name="工程费用" localSheetId="2">'[2]表1'!$G$40</definedName>
    <definedName name="工程费用">'表1'!$G$49</definedName>
    <definedName name="工程建设其他费" localSheetId="6">'[1]表1'!$G$119</definedName>
    <definedName name="工程建设其他费" localSheetId="2">'[2]表1'!$G$80</definedName>
    <definedName name="工程建设其他费">'表1'!$G$97</definedName>
    <definedName name="工程名称" localSheetId="2">#REF!</definedName>
    <definedName name="工程名称">#REF!</definedName>
    <definedName name="工程所在地" localSheetId="2">#REF!</definedName>
    <definedName name="工程所在地">#REF!</definedName>
    <definedName name="工程总投资" localSheetId="6">'[1]表1'!$G$127</definedName>
    <definedName name="工程总投资" localSheetId="2">'[2]表1'!$G$87</definedName>
    <definedName name="工程总投资">'表1'!$G$104</definedName>
    <definedName name="环评成果形式" localSheetId="2">#REF!</definedName>
    <definedName name="环评成果形式">#REF!</definedName>
    <definedName name="环评敏感程度" localSheetId="2">#REF!</definedName>
    <definedName name="环评敏感程度">#REF!</definedName>
    <definedName name="环评专业属性" localSheetId="2">#REF!</definedName>
    <definedName name="环评专业属性">#REF!</definedName>
    <definedName name="监理复杂度" localSheetId="2">#REF!</definedName>
    <definedName name="监理复杂度">#REF!</definedName>
    <definedName name="监理工程类别" localSheetId="2">#REF!</definedName>
    <definedName name="监理工程类别">#REF!</definedName>
    <definedName name="监理海拔" localSheetId="2">#REF!</definedName>
    <definedName name="监理海拔">#REF!</definedName>
    <definedName name="建贷或融资费" localSheetId="6">'[1]表1'!$G$126</definedName>
    <definedName name="建贷或融资费" localSheetId="2">'[2]表1'!$G$86</definedName>
    <definedName name="建贷或融资费">'表1'!$G$103</definedName>
    <definedName name="建设单位管理费" localSheetId="6">'[1]表1'!$G$101</definedName>
    <definedName name="建设单位管理费" localSheetId="2">'[2]表1'!$G$50</definedName>
    <definedName name="建设单位管理费">'表1'!$G$62</definedName>
    <definedName name="建设期贷款利息" localSheetId="2">#REF!</definedName>
    <definedName name="建设期贷款利息">#REF!</definedName>
    <definedName name="建设期融资费用" localSheetId="2">#REF!</definedName>
    <definedName name="建设期融资费用">#REF!</definedName>
    <definedName name="建设用地费" localSheetId="6">'[1]表1'!$G$93</definedName>
    <definedName name="建设用地费" localSheetId="2">'[2]表1'!#REF!</definedName>
    <definedName name="建设用地费">'表1'!#REF!</definedName>
    <definedName name="建筑工程费" localSheetId="6">'[1]表1'!#REF!</definedName>
    <definedName name="建筑工程费" localSheetId="2">'[2]表1'!$C$40</definedName>
    <definedName name="建筑工程费">'表1'!$C$49</definedName>
    <definedName name="静态投资" localSheetId="6">'[3]估算1'!#REF!</definedName>
    <definedName name="静态投资" localSheetId="0">'表1'!#REF!</definedName>
    <definedName name="静态投资" localSheetId="2">'[4]估算1'!#REF!</definedName>
    <definedName name="静态投资" localSheetId="3">'[5]表1'!#REF!</definedName>
    <definedName name="静态投资" localSheetId="4">'[5]表1'!#REF!</definedName>
    <definedName name="静态投资">'[6]估算1'!#REF!</definedName>
    <definedName name="勘察费" localSheetId="6">'[1]表1'!$G$105</definedName>
    <definedName name="勘察费" localSheetId="2">'[2]表1'!$G$56</definedName>
    <definedName name="勘察费">'表1'!$G$68</definedName>
    <definedName name="沥青" localSheetId="2">#REF!</definedName>
    <definedName name="沥青">#REF!</definedName>
    <definedName name="联合试运转费" localSheetId="6">'[1]表1'!#REF!</definedName>
    <definedName name="联合试运转费" localSheetId="2">'[2]表1'!$G$69</definedName>
    <definedName name="联合试运转费">'表1'!$G$81</definedName>
    <definedName name="木材" localSheetId="2">#REF!</definedName>
    <definedName name="木材">#REF!</definedName>
    <definedName name="铺底流动资金" localSheetId="6">'[1]表1'!#REF!</definedName>
    <definedName name="铺底流动资金" localSheetId="2">'[2]表1'!#REF!</definedName>
    <definedName name="铺底流动资金">'表1'!#REF!</definedName>
    <definedName name="设备购置费" localSheetId="6">'[1]表1'!#REF!</definedName>
    <definedName name="设备购置费" localSheetId="2">'[2]表1'!$E$40</definedName>
    <definedName name="设备购置费">'表1'!$E$49</definedName>
    <definedName name="设计前期咨询费工程属性" localSheetId="2">#REF!</definedName>
    <definedName name="设计前期咨询费工程属性">#REF!</definedName>
    <definedName name="是否政府投资项目" localSheetId="2">#REF!</definedName>
    <definedName name="是否政府投资项目">#REF!</definedName>
    <definedName name="水泥" localSheetId="2">#REF!</definedName>
    <definedName name="水泥">#REF!</definedName>
    <definedName name="土地征用费" localSheetId="2">#REF!</definedName>
    <definedName name="土地征用费">#REF!</definedName>
    <definedName name="预备费" localSheetId="6">'[1]表1'!$G$122</definedName>
    <definedName name="预备费" localSheetId="2">'[2]表1'!$G$83</definedName>
    <definedName name="预备费">'表1'!$G$100</definedName>
    <definedName name="专业性质" localSheetId="2">#REF!</definedName>
    <definedName name="专业性质">#REF!</definedName>
  </definedNames>
  <calcPr fullCalcOnLoad="1"/>
</workbook>
</file>

<file path=xl/comments5.xml><?xml version="1.0" encoding="utf-8"?>
<comments xmlns="http://schemas.openxmlformats.org/spreadsheetml/2006/main">
  <authors>
    <author>ghy</author>
  </authors>
  <commentList>
    <comment ref="D6" authorId="0">
      <text>
        <r>
          <rPr>
            <b/>
            <sz val="9"/>
            <rFont val="宋体"/>
            <family val="0"/>
          </rPr>
          <t>人行天桥及人行地道参照估算的材料数量</t>
        </r>
      </text>
    </comment>
    <comment ref="I32" authorId="0">
      <text>
        <r>
          <rPr>
            <b/>
            <sz val="9"/>
            <rFont val="宋体"/>
            <family val="0"/>
          </rPr>
          <t>人行天桥及人行地道参照估算的材料数量</t>
        </r>
      </text>
    </comment>
  </commentList>
</comments>
</file>

<file path=xl/sharedStrings.xml><?xml version="1.0" encoding="utf-8"?>
<sst xmlns="http://schemas.openxmlformats.org/spreadsheetml/2006/main" count="547" uniqueCount="332">
  <si>
    <t>序号</t>
  </si>
  <si>
    <t>工程或费用名称</t>
  </si>
  <si>
    <t>概</t>
  </si>
  <si>
    <t xml:space="preserve"> 算 金 额（万元）</t>
  </si>
  <si>
    <t>技术经济指标</t>
  </si>
  <si>
    <t>备注</t>
  </si>
  <si>
    <t>建筑工程</t>
  </si>
  <si>
    <t>安装工程</t>
  </si>
  <si>
    <t>设备及工器具购置</t>
  </si>
  <si>
    <t>其他费用</t>
  </si>
  <si>
    <t>合  计</t>
  </si>
  <si>
    <t>单位</t>
  </si>
  <si>
    <t>数  量</t>
  </si>
  <si>
    <t>单位价值(元)</t>
  </si>
  <si>
    <t>Ⅰ</t>
  </si>
  <si>
    <t>工程费用</t>
  </si>
  <si>
    <t>估算</t>
  </si>
  <si>
    <t>概算增加</t>
  </si>
  <si>
    <t>(一)</t>
  </si>
  <si>
    <t>道路工程</t>
  </si>
  <si>
    <t>㎞</t>
  </si>
  <si>
    <t>机动车道（沥青路面4+8cm，水稳层35cm，级配碎石15cm）</t>
  </si>
  <si>
    <t>㎡</t>
  </si>
  <si>
    <t>人行道（彩色透水材料3cm，C30透水混凝土18cm，级配碎石10cm）</t>
  </si>
  <si>
    <t>花岗岩立缘石15*35*99.5cm</t>
  </si>
  <si>
    <t>m</t>
  </si>
  <si>
    <t>花岗岩平缘石10*20*99.5cm</t>
  </si>
  <si>
    <t>破除工程</t>
  </si>
  <si>
    <t>项</t>
  </si>
  <si>
    <t>施工围挡</t>
  </si>
  <si>
    <t>挡土墙</t>
  </si>
  <si>
    <t>m³</t>
  </si>
  <si>
    <t>(二)</t>
  </si>
  <si>
    <t>交通工程</t>
  </si>
  <si>
    <t>交通标志标线</t>
  </si>
  <si>
    <t>护栏</t>
  </si>
  <si>
    <t>交通监控</t>
  </si>
  <si>
    <t>套</t>
  </si>
  <si>
    <t>(三)</t>
  </si>
  <si>
    <t>桥梁工程</t>
  </si>
  <si>
    <t>梅溪大桥</t>
  </si>
  <si>
    <t>桥台周边建筑保护</t>
  </si>
  <si>
    <t>(四)</t>
  </si>
  <si>
    <t>给水工程</t>
  </si>
  <si>
    <t>给水管道</t>
  </si>
  <si>
    <t>给水井</t>
  </si>
  <si>
    <t>座</t>
  </si>
  <si>
    <t>检查井井圈加固</t>
  </si>
  <si>
    <t>(五)</t>
  </si>
  <si>
    <t>雨水工程</t>
  </si>
  <si>
    <t>雨水管道</t>
  </si>
  <si>
    <t>雨水井</t>
  </si>
  <si>
    <t>雨水口</t>
  </si>
  <si>
    <t>排出口</t>
  </si>
  <si>
    <t>(六)</t>
  </si>
  <si>
    <t>污水工程</t>
  </si>
  <si>
    <t>污水管道</t>
  </si>
  <si>
    <t>污水井</t>
  </si>
  <si>
    <t>(七)</t>
  </si>
  <si>
    <t>电力工程</t>
  </si>
  <si>
    <t>电力管线</t>
  </si>
  <si>
    <t>电力井</t>
  </si>
  <si>
    <t>(八)</t>
  </si>
  <si>
    <t>通信工程</t>
  </si>
  <si>
    <t>通信管线</t>
  </si>
  <si>
    <t>通信井</t>
  </si>
  <si>
    <t>(九)</t>
  </si>
  <si>
    <t>照明工程</t>
  </si>
  <si>
    <t>夜景照明</t>
  </si>
  <si>
    <t>(十)</t>
  </si>
  <si>
    <t>绿化工程</t>
  </si>
  <si>
    <t>栽植乔木</t>
  </si>
  <si>
    <t>棵</t>
  </si>
  <si>
    <t>栽植灌木</t>
  </si>
  <si>
    <t>栽植色带</t>
  </si>
  <si>
    <t>铺装</t>
  </si>
  <si>
    <t>工程费用合计</t>
  </si>
  <si>
    <t>Ⅱ</t>
  </si>
  <si>
    <t>工程建设其他费用</t>
  </si>
  <si>
    <t>建设用地费</t>
  </si>
  <si>
    <t>其中：土地征用费</t>
  </si>
  <si>
    <t>亩</t>
  </si>
  <si>
    <t>其中：被征地农民社会保障金</t>
  </si>
  <si>
    <t>其中：建筑拆除费</t>
  </si>
  <si>
    <t>其中：电力管线迁改</t>
  </si>
  <si>
    <t>其中：通信管线迁改</t>
  </si>
  <si>
    <t>其中：国防光缆迁改</t>
  </si>
  <si>
    <t>其中：现状220KV铁塔迁改</t>
  </si>
  <si>
    <t>其中：现状电力架空线路迁改</t>
  </si>
  <si>
    <t>其中：现状通信架空线路迁改</t>
  </si>
  <si>
    <t>建设单位管理费</t>
  </si>
  <si>
    <t>建设工程监理费</t>
  </si>
  <si>
    <t>建设工程交易服务费</t>
  </si>
  <si>
    <t>工程造价咨询服务费</t>
  </si>
  <si>
    <t>建设项目前期工作咨询费</t>
  </si>
  <si>
    <t>研究试验费</t>
  </si>
  <si>
    <t>勘察费</t>
  </si>
  <si>
    <t>设计费</t>
  </si>
  <si>
    <t>施工图预算编制费</t>
  </si>
  <si>
    <t>竣工图编制费</t>
  </si>
  <si>
    <t>环境影响咨询服务费</t>
  </si>
  <si>
    <t>水土保持补偿费</t>
  </si>
  <si>
    <t>水土保持方案编制费</t>
  </si>
  <si>
    <t>劳动安全卫生评审费</t>
  </si>
  <si>
    <t>场地准备及临时设施费</t>
  </si>
  <si>
    <t>工程保险费</t>
  </si>
  <si>
    <t>生产职工培训费</t>
  </si>
  <si>
    <t>职工提前进厂费</t>
  </si>
  <si>
    <t>办公及生活用具购置费</t>
  </si>
  <si>
    <t>联合试运转费</t>
  </si>
  <si>
    <t>专利及专有技术使用费</t>
  </si>
  <si>
    <t>招标代理服务费</t>
  </si>
  <si>
    <t>施工图审查费</t>
  </si>
  <si>
    <t>防雷装置施工跟踪检测、设计技术评价费</t>
  </si>
  <si>
    <t>白蚂蚁防治费</t>
  </si>
  <si>
    <t>防空地下室易地建设费</t>
  </si>
  <si>
    <t>新建住宅供配电设施工程建设费</t>
  </si>
  <si>
    <t>市政公用设施费</t>
  </si>
  <si>
    <t>检验监测费</t>
  </si>
  <si>
    <t>安全评估费</t>
  </si>
  <si>
    <t>建筑垃圾消纳费</t>
  </si>
  <si>
    <t>工程款支付担保费</t>
  </si>
  <si>
    <t>行洪论证（评估）费</t>
  </si>
  <si>
    <t>工程建设其他费用合计</t>
  </si>
  <si>
    <t>Ⅲ</t>
  </si>
  <si>
    <t>预备费</t>
  </si>
  <si>
    <t>基本预备费</t>
  </si>
  <si>
    <t>预备费合计</t>
  </si>
  <si>
    <t>除建设管费费外的总投资</t>
  </si>
  <si>
    <t>Ⅳ</t>
  </si>
  <si>
    <t>建设期贷款利息</t>
  </si>
  <si>
    <t>建设期贷款利息合计</t>
  </si>
  <si>
    <t>工程总投资</t>
  </si>
  <si>
    <t>编制:</t>
  </si>
  <si>
    <t>校核:</t>
  </si>
  <si>
    <t>审核:</t>
  </si>
  <si>
    <t>贷款额度</t>
  </si>
  <si>
    <t>建设期</t>
  </si>
  <si>
    <t>第一年</t>
  </si>
  <si>
    <t>第二年</t>
  </si>
  <si>
    <t>第三年</t>
  </si>
  <si>
    <t>建设期利息</t>
  </si>
  <si>
    <t>费用名称</t>
  </si>
  <si>
    <t>计算规则（计算公式）</t>
  </si>
  <si>
    <t>金额         （万元）</t>
  </si>
  <si>
    <t>计价依据（备注）</t>
  </si>
  <si>
    <t>20+(2027.90-1000)*1.5%</t>
  </si>
  <si>
    <t>财政部财建[2016]504号文</t>
  </si>
  <si>
    <t>((78.1-30.1)/2000*(1803.13-1000)+30.1)*0.8</t>
  </si>
  <si>
    <t>国家发展和改革委员会、建设部发改价格[2007]670号文，施工监理收费基价×专业调整系数×工程复杂程度调整系数×附加调整系数×（1＋浮动幅度值）</t>
  </si>
  <si>
    <t>工程质量监督费</t>
  </si>
  <si>
    <t>福建省物价局、财政厅闽价[2004]房412号文</t>
  </si>
  <si>
    <t>0.55+0.05</t>
  </si>
  <si>
    <t>福建省物价局闽价[2003]房505号文，按建设工程招标项目建安造价（万元）对应的建设单位收费标准计算</t>
  </si>
  <si>
    <t>1803.13*1.36%*0.5</t>
  </si>
  <si>
    <t>福建省物价局闽价[2002]房457号文，工程费用×基准费率×（1＋浮动幅度值）</t>
  </si>
  <si>
    <t>((18-7.5)/2000*(1803.13-1000)+7.5)*0.7</t>
  </si>
  <si>
    <t>国家计委计价格[1999]1283号文，估算投资额×分档收费标准×行业调整系数×工程复杂程度调整系数</t>
  </si>
  <si>
    <t>暂列金额</t>
  </si>
  <si>
    <t>1803.13*0.8%*0.8</t>
  </si>
  <si>
    <t>工程费用*0.8%</t>
  </si>
  <si>
    <t>((103.8-38.8)/2000*(1803.13-1000)+38.8)*0.8</t>
  </si>
  <si>
    <t>国家计委、建设部计价格[2002]10号文，设计收费基价×专业调整系数×工程复杂程度调整系数×附加调整系数×（1＋浮动幅度值）</t>
  </si>
  <si>
    <t>国家计委、建设部计价格[2002]10号文，设计费×10%</t>
  </si>
  <si>
    <t>51.92*8%</t>
  </si>
  <si>
    <t>国家计委、建设部计价格[2002]10号文，设计费×8%</t>
  </si>
  <si>
    <t>5.8/3000*1803.13</t>
  </si>
  <si>
    <t>国家计委、国家环境保护总局计价格[2002]125号文，国家发展改革委发改价格[2011]534号，估算投资额×分档收费标准×行业调整系数×敏感程度调整系数×（1＋浮动幅度值）</t>
  </si>
  <si>
    <t>闽价费〔2015〕1号,闽财综〔2014〕54号，弃土、弃渣和堆倒物的体积×1.5元/m³</t>
  </si>
  <si>
    <t>森林植被恢复费</t>
  </si>
  <si>
    <t>财政部、国家林业局财综[2002]73号文，被占用或征用林地面积×每平方米森林植被恢复费收费标准</t>
  </si>
  <si>
    <t>1803.13*0.1%</t>
  </si>
  <si>
    <t>建设部建标[2007]164号文，工程费用×0.1%</t>
  </si>
  <si>
    <t>1803.13*0.5%</t>
  </si>
  <si>
    <t>建设部建标[2007]164号文，工程费用×0.5%</t>
  </si>
  <si>
    <t>1803.13*0.3%</t>
  </si>
  <si>
    <t>建设部建标[2007]164号文，工程费用×0.3%</t>
  </si>
  <si>
    <t>35人*0.6*6个月*2000元/月</t>
  </si>
  <si>
    <t>35人*0.3*3个月*2000元/月</t>
  </si>
  <si>
    <t>35人*2000元</t>
  </si>
  <si>
    <t>设备购置费*1%</t>
  </si>
  <si>
    <t>建设部建标[2007]164号文</t>
  </si>
  <si>
    <t>100*1%+400*0.7%+500*0.55%+(1803.13-1000)*0.35%</t>
  </si>
  <si>
    <t>国家计委计价格[2002]1980号文，国家发展改革委发改价格[2011]534号，工程费用×分档收费费率×（1＋浮动幅度值）</t>
  </si>
  <si>
    <t>100*0.17%+400*0.14%+500*0.11%+(1803.13-1000)*0.08%+11.54*3.5%</t>
  </si>
  <si>
    <t>福建省物价局闽价服（2012）237号文，(工程费用+勘察费）×分档收费费率</t>
  </si>
  <si>
    <t>1.77/29817.24*1803.13</t>
  </si>
  <si>
    <t>福建省物价局闽价服[2015]242号，防雷装置工程总造价×5.6%或总建筑面积×0.84元/㎡</t>
  </si>
  <si>
    <t>福建省物价局、财政厅闽价[2002]房572号文,(地下室建筑面积+底层建筑面积）*6元/㎡+二层及以上建筑面积*1元/㎡</t>
  </si>
  <si>
    <t>福建省物价局、财政厅闽价[2003]房208号文</t>
  </si>
  <si>
    <t>福建省物价局闽价房[2007]83号文</t>
  </si>
  <si>
    <t>福建省人民政府闽政[2002]53号文</t>
  </si>
  <si>
    <t>建设工程施工现场远程视频监控管理费</t>
  </si>
  <si>
    <t>工程建设其他费合计</t>
  </si>
  <si>
    <t>编制：</t>
  </si>
  <si>
    <t>说明及计算式</t>
  </si>
  <si>
    <t>财政部财建[2016]504号文，工程总投资*费率</t>
  </si>
  <si>
    <t>福建省物价局闽价通告[2018]9号文，按建设工程招标项目建安造价（万元）对应的建设单位收费标准计算（取消收费）</t>
  </si>
  <si>
    <t>闽招协〔2021〕32号文，工程费用×基准费率×（1＋浮动幅度值）</t>
  </si>
  <si>
    <t>闽发改服价函〔2020〕267号，弃土、弃渣和堆倒物的体积×1.0元/m³</t>
  </si>
  <si>
    <t>保监[2005]22号文</t>
  </si>
  <si>
    <t>闽招协〔2021〕32号文，工程费用×分档收费费率×（1＋浮动幅度值）</t>
  </si>
  <si>
    <t>建筑垃圾（渣土）20元/m3，建筑垃圾（泥浆）25元/m3，建筑垃圾（折旧废弃物、二次装修垃圾）20元/m3</t>
  </si>
  <si>
    <t>闽发改服价〔2021〕250号文</t>
  </si>
  <si>
    <t>闽建筑〔2021〕21号 ，工程款支付担保金额乘以工程款支付担保费率再乘以担保期限（年）计算。工程款支付担保费率一般为0.2%～1.2%</t>
  </si>
  <si>
    <t>按费用性质划分主要经济指标表</t>
  </si>
  <si>
    <r>
      <t>03</t>
    </r>
    <r>
      <rPr>
        <sz val="12"/>
        <rFont val="宋体"/>
        <family val="0"/>
      </rPr>
      <t>表</t>
    </r>
  </si>
  <si>
    <t>工程项目</t>
  </si>
  <si>
    <t>投资额(万元)</t>
  </si>
  <si>
    <t>合计(万元)</t>
  </si>
  <si>
    <t>占总资金比例%</t>
  </si>
  <si>
    <t>费用项目</t>
  </si>
  <si>
    <t>设备及工器具购置费</t>
  </si>
  <si>
    <t>其它费用</t>
  </si>
  <si>
    <t>综合预备费</t>
  </si>
  <si>
    <t>增涨预备费</t>
  </si>
  <si>
    <t>固定资产投资方向调节税</t>
  </si>
  <si>
    <t>铺底流动资金</t>
  </si>
  <si>
    <t>静态投资合计</t>
  </si>
  <si>
    <t>总投资合计</t>
  </si>
  <si>
    <r>
      <t>占总资金比例</t>
    </r>
    <r>
      <rPr>
        <sz val="10"/>
        <rFont val="Times New Roman"/>
        <family val="1"/>
      </rPr>
      <t>%</t>
    </r>
  </si>
  <si>
    <t>按专业划分主要经济指标表</t>
  </si>
  <si>
    <r>
      <t xml:space="preserve"> </t>
    </r>
    <r>
      <rPr>
        <sz val="12"/>
        <rFont val="宋体"/>
        <family val="0"/>
      </rPr>
      <t>04表</t>
    </r>
  </si>
  <si>
    <t>序</t>
  </si>
  <si>
    <t>号</t>
  </si>
  <si>
    <t>道路专业</t>
  </si>
  <si>
    <t>岩土专业</t>
  </si>
  <si>
    <t>隧道工程</t>
  </si>
  <si>
    <t>涵洞专业</t>
  </si>
  <si>
    <t>结构专业</t>
  </si>
  <si>
    <t>通风专业</t>
  </si>
  <si>
    <t>桥梁专业</t>
  </si>
  <si>
    <t>给水专业</t>
  </si>
  <si>
    <t>排水专业</t>
  </si>
  <si>
    <t>电气专业</t>
  </si>
  <si>
    <t>景观专业</t>
  </si>
  <si>
    <t>机修专业</t>
  </si>
  <si>
    <t>自控及仪表专业</t>
  </si>
  <si>
    <t>石油化工专业</t>
  </si>
  <si>
    <t>总图运输专业</t>
  </si>
  <si>
    <t>绿化专业</t>
  </si>
  <si>
    <t>管线迁改</t>
  </si>
  <si>
    <t>总资金合计</t>
  </si>
  <si>
    <t>项目名称</t>
  </si>
  <si>
    <t>可研估算</t>
  </si>
  <si>
    <t>初设概算</t>
  </si>
  <si>
    <t>增减百分比</t>
  </si>
  <si>
    <t>增加挡土墙</t>
  </si>
  <si>
    <t>增加交通监控</t>
  </si>
  <si>
    <t>初设细化设计</t>
  </si>
  <si>
    <t>给排水工程</t>
  </si>
  <si>
    <t>增加雨污水管线迁改</t>
  </si>
  <si>
    <t>电气工程</t>
  </si>
  <si>
    <t>增加电力井和管线</t>
  </si>
  <si>
    <t>减少建设用地费</t>
  </si>
  <si>
    <t>费率调整</t>
  </si>
  <si>
    <t>总投资</t>
  </si>
  <si>
    <t xml:space="preserve">    主要材料用量汇总表</t>
  </si>
  <si>
    <t>05表</t>
  </si>
  <si>
    <t>材料名称</t>
  </si>
  <si>
    <r>
      <t>水泥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)</t>
    </r>
  </si>
  <si>
    <r>
      <t>钢材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)</t>
    </r>
  </si>
  <si>
    <r>
      <t>木材</t>
    </r>
    <r>
      <rPr>
        <sz val="10"/>
        <rFont val="Times New Roman"/>
        <family val="1"/>
      </rPr>
      <t xml:space="preserve">                  (</t>
    </r>
    <r>
      <rPr>
        <sz val="10"/>
        <rFont val="宋体"/>
        <family val="0"/>
      </rPr>
      <t>立方米</t>
    </r>
    <r>
      <rPr>
        <sz val="10"/>
        <rFont val="Times New Roman"/>
        <family val="1"/>
      </rPr>
      <t>)</t>
    </r>
  </si>
  <si>
    <r>
      <t>沥青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)</t>
    </r>
  </si>
  <si>
    <t>钢铰线（吨）</t>
  </si>
  <si>
    <t>合计</t>
  </si>
  <si>
    <t>砖房</t>
  </si>
  <si>
    <t>石房</t>
  </si>
  <si>
    <t>简易房</t>
  </si>
  <si>
    <t>龙凤路</t>
  </si>
  <si>
    <t>建安</t>
  </si>
  <si>
    <t>钢材</t>
  </si>
  <si>
    <t>木材</t>
  </si>
  <si>
    <t>沥青</t>
  </si>
  <si>
    <t>钢铰线</t>
  </si>
  <si>
    <t>清荣</t>
  </si>
  <si>
    <t>概算</t>
  </si>
  <si>
    <t>变化</t>
  </si>
  <si>
    <t>对比</t>
  </si>
  <si>
    <r>
      <rPr>
        <sz val="10"/>
        <color indexed="8"/>
        <rFont val="Arial"/>
        <family val="2"/>
      </rPr>
      <t>242m</t>
    </r>
    <r>
      <rPr>
        <sz val="10"/>
        <color indexed="8"/>
        <rFont val="宋体"/>
        <family val="0"/>
      </rPr>
      <t>混凝土梁改为钢梁，单价增加</t>
    </r>
  </si>
  <si>
    <t>岩土工程</t>
  </si>
  <si>
    <t>根据最新勘察成果做出调整取消换填处理，支护减少310万</t>
  </si>
  <si>
    <r>
      <rPr>
        <sz val="10"/>
        <color indexed="8"/>
        <rFont val="宋体"/>
        <family val="0"/>
      </rPr>
      <t>雨水管道增加</t>
    </r>
    <r>
      <rPr>
        <sz val="10"/>
        <color indexed="8"/>
        <rFont val="Arial"/>
        <family val="2"/>
      </rPr>
      <t>1015m</t>
    </r>
    <r>
      <rPr>
        <sz val="10"/>
        <color indexed="8"/>
        <rFont val="宋体"/>
        <family val="0"/>
      </rPr>
      <t>；
含支护</t>
    </r>
    <r>
      <rPr>
        <sz val="10"/>
        <color indexed="8"/>
        <rFont val="Arial"/>
        <family val="2"/>
      </rPr>
      <t>16</t>
    </r>
    <r>
      <rPr>
        <sz val="10"/>
        <color indexed="8"/>
        <rFont val="宋体"/>
        <family val="0"/>
      </rPr>
      <t>万元</t>
    </r>
  </si>
  <si>
    <t>建安费</t>
  </si>
  <si>
    <t>其他费</t>
  </si>
  <si>
    <r>
      <rPr>
        <sz val="10"/>
        <color indexed="8"/>
        <rFont val="宋体"/>
        <family val="0"/>
      </rPr>
      <t>征地增加</t>
    </r>
    <r>
      <rPr>
        <sz val="10"/>
        <color indexed="8"/>
        <rFont val="Arial"/>
        <family val="2"/>
      </rPr>
      <t>24.33</t>
    </r>
    <r>
      <rPr>
        <sz val="10"/>
        <color indexed="8"/>
        <rFont val="宋体"/>
        <family val="0"/>
      </rPr>
      <t>亩，拆迁增加</t>
    </r>
    <r>
      <rPr>
        <sz val="10"/>
        <color indexed="8"/>
        <rFont val="Arial"/>
        <family val="2"/>
      </rPr>
      <t>4440</t>
    </r>
    <r>
      <rPr>
        <sz val="10"/>
        <color indexed="8"/>
        <rFont val="宋体"/>
        <family val="0"/>
      </rPr>
      <t>㎡</t>
    </r>
  </si>
  <si>
    <t>原房屋区位评估价</t>
  </si>
  <si>
    <t>原房屋重置价</t>
  </si>
  <si>
    <t>成新率</t>
  </si>
  <si>
    <t>装修补偿费用</t>
  </si>
  <si>
    <t>搬迁费</t>
  </si>
  <si>
    <t>搬迁奖励及其他项目补偿金额</t>
  </si>
  <si>
    <t>奖励</t>
  </si>
  <si>
    <r>
      <rPr>
        <sz val="10"/>
        <color indexed="8"/>
        <rFont val="宋体"/>
        <family val="0"/>
      </rPr>
      <t>融政综［</t>
    </r>
    <r>
      <rPr>
        <sz val="10"/>
        <color indexed="8"/>
        <rFont val="Arial"/>
        <family val="2"/>
      </rPr>
      <t>2012</t>
    </r>
    <r>
      <rPr>
        <sz val="10"/>
        <color indexed="8"/>
        <rFont val="宋体"/>
        <family val="0"/>
      </rPr>
      <t>］</t>
    </r>
    <r>
      <rPr>
        <sz val="10"/>
        <color indexed="8"/>
        <rFont val="Arial"/>
        <family val="2"/>
      </rPr>
      <t>101</t>
    </r>
    <r>
      <rPr>
        <sz val="10"/>
        <color indexed="8"/>
        <rFont val="宋体"/>
        <family val="0"/>
      </rPr>
      <t>号</t>
    </r>
  </si>
  <si>
    <t>钢筋砼结构</t>
  </si>
  <si>
    <t>砖混结构</t>
  </si>
  <si>
    <t>砖木结构</t>
  </si>
  <si>
    <t>木结构</t>
  </si>
  <si>
    <t>土木结构</t>
  </si>
  <si>
    <t>简易结构</t>
  </si>
  <si>
    <r>
      <rPr>
        <sz val="10"/>
        <color indexed="8"/>
        <rFont val="宋体"/>
        <family val="0"/>
      </rPr>
      <t>榕政办［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］</t>
    </r>
    <r>
      <rPr>
        <sz val="10"/>
        <color indexed="8"/>
        <rFont val="Arial"/>
        <family val="2"/>
      </rPr>
      <t>100</t>
    </r>
    <r>
      <rPr>
        <sz val="10"/>
        <color indexed="8"/>
        <rFont val="宋体"/>
        <family val="0"/>
      </rPr>
      <t>号</t>
    </r>
  </si>
  <si>
    <t>房屋重置价</t>
  </si>
  <si>
    <t>二次装修</t>
  </si>
  <si>
    <t>二次装修成新率</t>
  </si>
  <si>
    <t>搬迁补助</t>
  </si>
  <si>
    <t>临时过渡费</t>
  </si>
  <si>
    <t>宅基地土地补偿</t>
  </si>
  <si>
    <t>福和大道及福百大道房屋征收补偿方案</t>
  </si>
  <si>
    <t>框架结构</t>
  </si>
  <si>
    <t>石混结构</t>
  </si>
  <si>
    <t>石、石木结构</t>
  </si>
  <si>
    <t>m2</t>
  </si>
  <si>
    <t>补偿标准</t>
  </si>
  <si>
    <t>小计</t>
  </si>
  <si>
    <t>宏路周边三条路</t>
  </si>
  <si>
    <t>拆迁砖房</t>
  </si>
  <si>
    <t>拆迁牲房</t>
  </si>
  <si>
    <t>拆迁简易房</t>
  </si>
  <si>
    <t>拆迁混合房</t>
  </si>
  <si>
    <t>拆迁钢房</t>
  </si>
  <si>
    <t>宅基地</t>
  </si>
  <si>
    <t>水田</t>
  </si>
  <si>
    <t>菜地</t>
  </si>
  <si>
    <t>旱地</t>
  </si>
  <si>
    <t>林地</t>
  </si>
  <si>
    <t>果园及经济作物</t>
  </si>
  <si>
    <t>鱼塘</t>
  </si>
  <si>
    <t>未利用地</t>
  </si>
  <si>
    <t>耕地</t>
  </si>
  <si>
    <t>园地等其他农用地</t>
  </si>
  <si>
    <t>未利用土地</t>
  </si>
  <si>
    <t>留用地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</si>
</sst>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  <numFmt numFmtId="180" formatCode="0.0000_);[Red]\(0.0000\)"/>
    <numFmt numFmtId="181" formatCode="0_ "/>
    <numFmt numFmtId="182" formatCode="0.00;[Red]0.00"/>
    <numFmt numFmtId="183" formatCode="0.000_ "/>
    <numFmt numFmtId="184" formatCode="0.0000_ "/>
    <numFmt numFmtId="185" formatCode="0.000"/>
    <numFmt numFmtId="186" formatCode="0;[Red]0"/>
    <numFmt numFmtId="187" formatCode="0.00_);[Red]\(0.00\)"/>
    <numFmt numFmtId="188" formatCode="0_);[Red]\(0\)"/>
    <numFmt numFmtId="189" formatCode="0.0000000000_);[Red]\(0.0000000000\)"/>
    <numFmt numFmtId="190" formatCode="0.00000000000_);[Red]\(0.00000000000\)"/>
  </numFmts>
  <fonts count="38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2"/>
      <name val="宋体"/>
      <family val="0"/>
    </font>
    <font>
      <u val="single"/>
      <strike/>
      <sz val="10"/>
      <color indexed="10"/>
      <name val="宋体"/>
      <family val="0"/>
    </font>
    <font>
      <u val="single"/>
      <strike/>
      <sz val="10"/>
      <name val="宋体"/>
      <family val="0"/>
    </font>
    <font>
      <sz val="12"/>
      <color indexed="8"/>
      <name val="宋体"/>
      <family val="0"/>
    </font>
    <font>
      <u val="single"/>
      <strike/>
      <sz val="12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sz val="10"/>
      <name val="Geneva"/>
      <family val="2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宋体"/>
      <family val="0"/>
    </font>
    <font>
      <u val="single"/>
      <strike/>
      <sz val="10"/>
      <color rgb="FFFF0000"/>
      <name val="宋体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3" fillId="5" borderId="0" applyNumberFormat="0" applyBorder="0" applyAlignment="0" applyProtection="0"/>
    <xf numFmtId="0" fontId="15" fillId="6" borderId="1" applyNumberFormat="0" applyAlignment="0" applyProtection="0"/>
    <xf numFmtId="0" fontId="16" fillId="7" borderId="0" applyNumberFormat="0" applyBorder="0" applyAlignment="0" applyProtection="0"/>
    <xf numFmtId="178" fontId="0" fillId="0" borderId="0">
      <alignment/>
      <protection/>
    </xf>
    <xf numFmtId="0" fontId="13" fillId="3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13" fillId="8" borderId="0" applyNumberFormat="0" applyBorder="0" applyAlignment="0" applyProtection="0"/>
    <xf numFmtId="9" fontId="0" fillId="0" borderId="0">
      <alignment/>
      <protection/>
    </xf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9" borderId="2" applyNumberFormat="0" applyFont="0" applyAlignment="0" applyProtection="0"/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7" fillId="11" borderId="0" applyNumberFormat="0" applyBorder="0" applyAlignment="0" applyProtection="0"/>
    <xf numFmtId="0" fontId="21" fillId="0" borderId="5" applyNumberFormat="0" applyFill="0" applyAlignment="0" applyProtection="0"/>
    <xf numFmtId="0" fontId="17" fillId="12" borderId="0" applyNumberFormat="0" applyBorder="0" applyAlignment="0" applyProtection="0"/>
    <xf numFmtId="0" fontId="27" fillId="6" borderId="6" applyNumberFormat="0" applyAlignment="0" applyProtection="0"/>
    <xf numFmtId="0" fontId="15" fillId="6" borderId="1" applyNumberFormat="0" applyAlignment="0" applyProtection="0"/>
    <xf numFmtId="0" fontId="28" fillId="13" borderId="7" applyNumberFormat="0" applyAlignment="0" applyProtection="0"/>
    <xf numFmtId="0" fontId="13" fillId="14" borderId="0" applyNumberFormat="0" applyBorder="0" applyAlignment="0" applyProtection="0"/>
    <xf numFmtId="0" fontId="13" fillId="4" borderId="0" applyNumberFormat="0" applyBorder="0" applyAlignment="0" applyProtection="0"/>
    <xf numFmtId="0" fontId="17" fillId="15" borderId="0" applyNumberFormat="0" applyBorder="0" applyAlignment="0" applyProtection="0"/>
    <xf numFmtId="0" fontId="29" fillId="0" borderId="8" applyNumberFormat="0" applyFill="0" applyAlignment="0" applyProtection="0"/>
    <xf numFmtId="0" fontId="13" fillId="8" borderId="0" applyNumberFormat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13" fillId="10" borderId="0" applyNumberFormat="0" applyBorder="0" applyAlignment="0" applyProtection="0"/>
    <xf numFmtId="0" fontId="32" fillId="16" borderId="0" applyNumberFormat="0" applyBorder="0" applyAlignment="0" applyProtection="0"/>
    <xf numFmtId="0" fontId="13" fillId="17" borderId="0" applyNumberFormat="0" applyBorder="0" applyAlignment="0" applyProtection="0"/>
    <xf numFmtId="0" fontId="17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27" fillId="6" borderId="6" applyNumberFormat="0" applyAlignment="0" applyProtection="0"/>
    <xf numFmtId="0" fontId="13" fillId="10" borderId="0" applyNumberFormat="0" applyBorder="0" applyAlignment="0" applyProtection="0"/>
    <xf numFmtId="0" fontId="17" fillId="19" borderId="0" applyNumberFormat="0" applyBorder="0" applyAlignment="0" applyProtection="0"/>
    <xf numFmtId="0" fontId="13" fillId="14" borderId="0" applyNumberFormat="0" applyBorder="0" applyAlignment="0" applyProtection="0"/>
    <xf numFmtId="0" fontId="17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7" fillId="20" borderId="0" applyNumberFormat="0" applyBorder="0" applyAlignment="0" applyProtection="0"/>
    <xf numFmtId="0" fontId="13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32" fillId="16" borderId="0" applyNumberFormat="0" applyBorder="0" applyAlignment="0" applyProtection="0"/>
    <xf numFmtId="0" fontId="17" fillId="2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27" fillId="6" borderId="6" applyNumberFormat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5" fillId="6" borderId="1" applyNumberFormat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28" fillId="13" borderId="7" applyNumberFormat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22" borderId="0" applyNumberFormat="0" applyBorder="0" applyAlignment="0" applyProtection="0"/>
    <xf numFmtId="0" fontId="32" fillId="16" borderId="0" applyNumberFormat="0" applyBorder="0" applyAlignment="0" applyProtection="0"/>
    <xf numFmtId="0" fontId="13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8" fillId="13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9" fillId="0" borderId="0">
      <alignment/>
      <protection/>
    </xf>
    <xf numFmtId="0" fontId="5" fillId="9" borderId="2" applyNumberFormat="0" applyFont="0" applyAlignment="0" applyProtection="0"/>
    <xf numFmtId="0" fontId="5" fillId="9" borderId="2" applyNumberFormat="0" applyFont="0" applyAlignment="0" applyProtection="0"/>
  </cellStyleXfs>
  <cellXfs count="189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34" applyFont="1">
      <alignment/>
      <protection/>
    </xf>
    <xf numFmtId="0" fontId="3" fillId="0" borderId="0" xfId="123" applyFont="1" applyFill="1">
      <alignment/>
      <protection/>
    </xf>
    <xf numFmtId="0" fontId="4" fillId="0" borderId="11" xfId="123" applyFont="1" applyFill="1" applyBorder="1" applyAlignment="1">
      <alignment horizontal="center" vertical="center"/>
      <protection/>
    </xf>
    <xf numFmtId="0" fontId="5" fillId="0" borderId="11" xfId="123" applyFont="1" applyFill="1" applyBorder="1" applyAlignment="1">
      <alignment horizontal="center" vertical="center"/>
      <protection/>
    </xf>
    <xf numFmtId="0" fontId="3" fillId="0" borderId="12" xfId="123" applyFont="1" applyFill="1" applyBorder="1" applyAlignment="1">
      <alignment vertical="center"/>
      <protection/>
    </xf>
    <xf numFmtId="0" fontId="3" fillId="0" borderId="13" xfId="123" applyFont="1" applyFill="1" applyBorder="1" applyAlignment="1">
      <alignment horizontal="right" vertical="center"/>
      <protection/>
    </xf>
    <xf numFmtId="0" fontId="3" fillId="0" borderId="10" xfId="123" applyFont="1" applyFill="1" applyBorder="1" applyAlignment="1">
      <alignment horizontal="center" vertical="center" wrapText="1"/>
      <protection/>
    </xf>
    <xf numFmtId="0" fontId="3" fillId="0" borderId="14" xfId="123" applyFont="1" applyFill="1" applyBorder="1" applyAlignment="1">
      <alignment vertical="center"/>
      <protection/>
    </xf>
    <xf numFmtId="0" fontId="3" fillId="0" borderId="11" xfId="123" applyFont="1" applyFill="1" applyBorder="1" applyAlignment="1">
      <alignment vertical="center"/>
      <protection/>
    </xf>
    <xf numFmtId="0" fontId="3" fillId="0" borderId="15" xfId="123" applyFont="1" applyFill="1" applyBorder="1" applyAlignment="1">
      <alignment horizontal="center" vertical="center"/>
      <protection/>
    </xf>
    <xf numFmtId="1" fontId="3" fillId="0" borderId="15" xfId="152" applyNumberFormat="1" applyFont="1" applyFill="1" applyBorder="1" applyAlignment="1">
      <alignment horizontal="center" vertical="center"/>
      <protection/>
    </xf>
    <xf numFmtId="1" fontId="3" fillId="0" borderId="10" xfId="152" applyNumberFormat="1" applyFont="1" applyFill="1" applyBorder="1" applyAlignment="1">
      <alignment horizontal="center" vertical="center"/>
      <protection/>
    </xf>
    <xf numFmtId="0" fontId="36" fillId="0" borderId="0" xfId="123" applyFont="1" applyFill="1">
      <alignment/>
      <protection/>
    </xf>
    <xf numFmtId="0" fontId="7" fillId="0" borderId="0" xfId="123" applyFont="1" applyFill="1">
      <alignment/>
      <protection/>
    </xf>
    <xf numFmtId="0" fontId="8" fillId="0" borderId="16" xfId="0" applyFont="1" applyBorder="1" applyAlignment="1">
      <alignment horizontal="center" wrapText="1"/>
    </xf>
    <xf numFmtId="179" fontId="7" fillId="0" borderId="0" xfId="123" applyNumberFormat="1" applyFont="1" applyFill="1">
      <alignment/>
      <protection/>
    </xf>
    <xf numFmtId="179" fontId="3" fillId="0" borderId="0" xfId="123" applyNumberFormat="1" applyFont="1" applyFill="1">
      <alignment/>
      <protection/>
    </xf>
    <xf numFmtId="0" fontId="8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6" fillId="0" borderId="0" xfId="34" applyFont="1">
      <alignment/>
      <protection/>
    </xf>
    <xf numFmtId="0" fontId="7" fillId="0" borderId="0" xfId="34" applyFont="1">
      <alignment/>
      <protection/>
    </xf>
    <xf numFmtId="0" fontId="3" fillId="0" borderId="10" xfId="28" applyFont="1" applyFill="1" applyBorder="1" applyAlignment="1">
      <alignment horizontal="center" vertical="center" wrapText="1"/>
      <protection/>
    </xf>
    <xf numFmtId="0" fontId="3" fillId="0" borderId="0" xfId="28" applyFont="1" applyFill="1" applyBorder="1" applyAlignment="1">
      <alignment horizontal="center" vertical="center" wrapText="1"/>
      <protection/>
    </xf>
    <xf numFmtId="1" fontId="3" fillId="0" borderId="15" xfId="28" applyNumberFormat="1" applyFont="1" applyFill="1" applyBorder="1" applyAlignment="1">
      <alignment horizontal="center" vertical="center"/>
      <protection/>
    </xf>
    <xf numFmtId="1" fontId="3" fillId="0" borderId="0" xfId="28" applyNumberFormat="1" applyFont="1" applyFill="1" applyBorder="1" applyAlignment="1">
      <alignment horizontal="center" vertical="center"/>
      <protection/>
    </xf>
    <xf numFmtId="0" fontId="3" fillId="0" borderId="10" xfId="34" applyFont="1" applyBorder="1" applyAlignment="1">
      <alignment horizontal="center" vertical="center" wrapText="1"/>
      <protection/>
    </xf>
    <xf numFmtId="1" fontId="3" fillId="0" borderId="15" xfId="34" applyNumberFormat="1" applyFont="1" applyFill="1" applyBorder="1" applyAlignment="1">
      <alignment horizontal="center" vertical="center"/>
      <protection/>
    </xf>
    <xf numFmtId="0" fontId="3" fillId="0" borderId="10" xfId="34" applyFont="1" applyBorder="1">
      <alignment/>
      <protection/>
    </xf>
    <xf numFmtId="2" fontId="3" fillId="0" borderId="0" xfId="34" applyNumberFormat="1" applyFont="1">
      <alignment/>
      <protection/>
    </xf>
    <xf numFmtId="0" fontId="3" fillId="0" borderId="0" xfId="123" applyFont="1" applyFill="1" applyAlignment="1">
      <alignment vertical="center"/>
      <protection/>
    </xf>
    <xf numFmtId="0" fontId="5" fillId="0" borderId="0" xfId="123" applyFont="1" applyFill="1" applyAlignment="1">
      <alignment horizontal="center"/>
      <protection/>
    </xf>
    <xf numFmtId="0" fontId="5" fillId="0" borderId="0" xfId="123" applyFont="1" applyFill="1">
      <alignment/>
      <protection/>
    </xf>
    <xf numFmtId="0" fontId="10" fillId="0" borderId="0" xfId="123" applyFont="1" applyFill="1">
      <alignment/>
      <protection/>
    </xf>
    <xf numFmtId="0" fontId="4" fillId="0" borderId="11" xfId="123" applyFont="1" applyFill="1" applyBorder="1" applyAlignment="1">
      <alignment horizontal="center"/>
      <protection/>
    </xf>
    <xf numFmtId="0" fontId="5" fillId="0" borderId="0" xfId="123" applyFont="1" applyFill="1" applyBorder="1" applyAlignment="1">
      <alignment horizontal="center" vertical="center"/>
      <protection/>
    </xf>
    <xf numFmtId="0" fontId="3" fillId="0" borderId="20" xfId="123" applyFont="1" applyFill="1" applyBorder="1" applyAlignment="1">
      <alignment horizontal="center" vertical="center"/>
      <protection/>
    </xf>
    <xf numFmtId="0" fontId="3" fillId="0" borderId="20" xfId="123" applyFont="1" applyFill="1" applyBorder="1" applyAlignment="1">
      <alignment horizontal="right" vertical="center"/>
      <protection/>
    </xf>
    <xf numFmtId="0" fontId="3" fillId="0" borderId="21" xfId="123" applyFont="1" applyFill="1" applyBorder="1" applyAlignment="1">
      <alignment horizontal="center" vertical="center" wrapText="1"/>
      <protection/>
    </xf>
    <xf numFmtId="0" fontId="3" fillId="0" borderId="20" xfId="123" applyFont="1" applyFill="1" applyBorder="1" applyAlignment="1">
      <alignment horizontal="center" vertical="center" wrapText="1"/>
      <protection/>
    </xf>
    <xf numFmtId="0" fontId="3" fillId="0" borderId="15" xfId="123" applyFont="1" applyFill="1" applyBorder="1" applyAlignment="1">
      <alignment horizontal="left" vertical="center"/>
      <protection/>
    </xf>
    <xf numFmtId="0" fontId="3" fillId="0" borderId="15" xfId="123" applyFont="1" applyFill="1" applyBorder="1" applyAlignment="1">
      <alignment horizontal="center" vertical="center" wrapText="1"/>
      <protection/>
    </xf>
    <xf numFmtId="0" fontId="3" fillId="0" borderId="15" xfId="123" applyFont="1" applyFill="1" applyBorder="1" applyAlignment="1">
      <alignment vertical="center"/>
      <protection/>
    </xf>
    <xf numFmtId="182" fontId="3" fillId="0" borderId="10" xfId="123" applyNumberFormat="1" applyFont="1" applyFill="1" applyBorder="1" applyAlignment="1" applyProtection="1">
      <alignment vertical="center"/>
      <protection/>
    </xf>
    <xf numFmtId="0" fontId="3" fillId="0" borderId="10" xfId="123" applyFont="1" applyFill="1" applyBorder="1" applyAlignment="1">
      <alignment horizontal="center" vertical="center"/>
      <protection/>
    </xf>
    <xf numFmtId="0" fontId="3" fillId="0" borderId="10" xfId="123" applyFont="1" applyFill="1" applyBorder="1" applyAlignment="1">
      <alignment vertical="center"/>
      <protection/>
    </xf>
    <xf numFmtId="2" fontId="3" fillId="0" borderId="10" xfId="123" applyNumberFormat="1" applyFont="1" applyFill="1" applyBorder="1" applyAlignment="1" applyProtection="1">
      <alignment vertical="center"/>
      <protection locked="0"/>
    </xf>
    <xf numFmtId="0" fontId="3" fillId="0" borderId="10" xfId="123" applyFont="1" applyFill="1" applyBorder="1" applyAlignment="1" applyProtection="1">
      <alignment vertical="center"/>
      <protection locked="0"/>
    </xf>
    <xf numFmtId="182" fontId="3" fillId="0" borderId="10" xfId="123" applyNumberFormat="1" applyFont="1" applyFill="1" applyBorder="1">
      <alignment/>
      <protection/>
    </xf>
    <xf numFmtId="182" fontId="3" fillId="0" borderId="10" xfId="123" applyNumberFormat="1" applyFont="1" applyFill="1" applyBorder="1" applyAlignment="1">
      <alignment vertical="center"/>
      <protection/>
    </xf>
    <xf numFmtId="2" fontId="3" fillId="0" borderId="10" xfId="123" applyNumberFormat="1" applyFont="1" applyFill="1" applyBorder="1" applyAlignment="1">
      <alignment vertical="center"/>
      <protection/>
    </xf>
    <xf numFmtId="182" fontId="5" fillId="0" borderId="0" xfId="123" applyNumberFormat="1" applyFont="1" applyFill="1">
      <alignment/>
      <protection/>
    </xf>
    <xf numFmtId="0" fontId="5" fillId="0" borderId="0" xfId="123" applyFont="1">
      <alignment/>
      <protection/>
    </xf>
    <xf numFmtId="179" fontId="5" fillId="0" borderId="0" xfId="123" applyNumberFormat="1" applyFont="1">
      <alignment/>
      <protection/>
    </xf>
    <xf numFmtId="0" fontId="1" fillId="0" borderId="0" xfId="125" applyFont="1" applyFill="1" applyAlignment="1">
      <alignment horizontal="right" vertical="center"/>
      <protection/>
    </xf>
    <xf numFmtId="0" fontId="1" fillId="0" borderId="0" xfId="125" applyFont="1" applyFill="1" applyAlignment="1">
      <alignment vertical="center"/>
      <protection/>
    </xf>
    <xf numFmtId="10" fontId="5" fillId="0" borderId="0" xfId="123" applyNumberFormat="1" applyFont="1">
      <alignment/>
      <protection/>
    </xf>
    <xf numFmtId="0" fontId="8" fillId="0" borderId="0" xfId="0" applyFont="1" applyAlignment="1">
      <alignment/>
    </xf>
    <xf numFmtId="0" fontId="3" fillId="0" borderId="0" xfId="34" applyFont="1" applyFill="1" applyAlignment="1">
      <alignment vertical="center" wrapText="1"/>
      <protection/>
    </xf>
    <xf numFmtId="0" fontId="3" fillId="0" borderId="0" xfId="34" applyFont="1" applyFill="1" applyAlignment="1">
      <alignment horizontal="center" vertical="center"/>
      <protection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vertical="center"/>
      <protection/>
    </xf>
    <xf numFmtId="177" fontId="3" fillId="0" borderId="0" xfId="136" applyNumberFormat="1" applyFont="1" applyFill="1" applyAlignment="1">
      <alignment horizontal="center" vertical="center"/>
    </xf>
    <xf numFmtId="177" fontId="3" fillId="0" borderId="0" xfId="136" applyNumberFormat="1" applyFont="1" applyFill="1" applyAlignment="1">
      <alignment/>
    </xf>
    <xf numFmtId="177" fontId="3" fillId="0" borderId="0" xfId="136" applyNumberFormat="1" applyFont="1" applyFill="1" applyAlignment="1">
      <alignment vertical="center"/>
    </xf>
    <xf numFmtId="0" fontId="3" fillId="0" borderId="10" xfId="136" applyNumberFormat="1" applyFont="1" applyFill="1" applyBorder="1" applyAlignment="1">
      <alignment horizontal="center" vertical="center" wrapText="1"/>
    </xf>
    <xf numFmtId="0" fontId="3" fillId="0" borderId="22" xfId="136" applyNumberFormat="1" applyFont="1" applyFill="1" applyBorder="1" applyAlignment="1">
      <alignment horizontal="center" vertical="center" wrapText="1"/>
    </xf>
    <xf numFmtId="0" fontId="3" fillId="0" borderId="21" xfId="136" applyNumberFormat="1" applyFont="1" applyFill="1" applyBorder="1" applyAlignment="1">
      <alignment horizontal="center" vertical="center" wrapText="1"/>
    </xf>
    <xf numFmtId="0" fontId="3" fillId="0" borderId="10" xfId="136" applyNumberFormat="1" applyFont="1" applyFill="1" applyBorder="1" applyAlignment="1">
      <alignment horizontal="left" vertical="center" wrapText="1"/>
    </xf>
    <xf numFmtId="0" fontId="3" fillId="0" borderId="22" xfId="136" applyNumberFormat="1" applyFont="1" applyFill="1" applyBorder="1" applyAlignment="1">
      <alignment horizontal="left" vertical="center" wrapText="1"/>
    </xf>
    <xf numFmtId="0" fontId="3" fillId="0" borderId="21" xfId="136" applyNumberFormat="1" applyFont="1" applyFill="1" applyBorder="1" applyAlignment="1">
      <alignment horizontal="left" vertical="center" wrapText="1"/>
    </xf>
    <xf numFmtId="182" fontId="3" fillId="0" borderId="10" xfId="136" applyNumberFormat="1" applyFont="1" applyFill="1" applyBorder="1" applyAlignment="1">
      <alignment horizontal="right" vertical="center" wrapText="1"/>
    </xf>
    <xf numFmtId="0" fontId="3" fillId="0" borderId="10" xfId="136" applyNumberFormat="1" applyFont="1" applyFill="1" applyBorder="1" applyAlignment="1">
      <alignment wrapText="1"/>
    </xf>
    <xf numFmtId="0" fontId="3" fillId="0" borderId="10" xfId="136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136" applyNumberFormat="1" applyFont="1" applyFill="1" applyBorder="1" applyAlignment="1" applyProtection="1">
      <alignment horizontal="left" vertical="center" wrapText="1"/>
      <protection/>
    </xf>
    <xf numFmtId="0" fontId="3" fillId="0" borderId="21" xfId="136" applyNumberFormat="1" applyFont="1" applyFill="1" applyBorder="1" applyAlignment="1" applyProtection="1">
      <alignment horizontal="left" vertical="center" wrapText="1"/>
      <protection/>
    </xf>
    <xf numFmtId="0" fontId="3" fillId="0" borderId="22" xfId="136" applyNumberFormat="1" applyFont="1" applyFill="1" applyBorder="1" applyAlignment="1">
      <alignment vertical="center" wrapText="1"/>
    </xf>
    <xf numFmtId="0" fontId="3" fillId="0" borderId="21" xfId="136" applyNumberFormat="1" applyFont="1" applyFill="1" applyBorder="1" applyAlignment="1">
      <alignment vertical="center" wrapText="1"/>
    </xf>
    <xf numFmtId="0" fontId="3" fillId="0" borderId="22" xfId="137" applyNumberFormat="1" applyFont="1" applyFill="1" applyBorder="1" applyAlignment="1">
      <alignment horizontal="left" vertical="center" wrapText="1"/>
    </xf>
    <xf numFmtId="0" fontId="3" fillId="0" borderId="21" xfId="137" applyNumberFormat="1" applyFont="1" applyFill="1" applyBorder="1" applyAlignment="1">
      <alignment horizontal="left" vertical="center" wrapText="1"/>
    </xf>
    <xf numFmtId="0" fontId="3" fillId="0" borderId="22" xfId="136" applyNumberFormat="1" applyFont="1" applyFill="1" applyBorder="1" applyAlignment="1" applyProtection="1">
      <alignment vertical="center" wrapText="1"/>
      <protection locked="0"/>
    </xf>
    <xf numFmtId="0" fontId="3" fillId="0" borderId="21" xfId="136" applyNumberFormat="1" applyFont="1" applyFill="1" applyBorder="1" applyAlignment="1" applyProtection="1">
      <alignment vertical="center" wrapText="1"/>
      <protection locked="0"/>
    </xf>
    <xf numFmtId="0" fontId="3" fillId="0" borderId="10" xfId="137" applyNumberFormat="1" applyFont="1" applyFill="1" applyBorder="1" applyAlignment="1">
      <alignment horizontal="center" vertical="center" wrapText="1"/>
    </xf>
    <xf numFmtId="0" fontId="3" fillId="0" borderId="10" xfId="137" applyNumberFormat="1" applyFont="1" applyFill="1" applyBorder="1" applyAlignment="1">
      <alignment horizontal="left" vertical="center" wrapText="1"/>
    </xf>
    <xf numFmtId="182" fontId="3" fillId="0" borderId="10" xfId="136" applyNumberFormat="1" applyFont="1" applyFill="1" applyBorder="1" applyAlignment="1">
      <alignment vertical="center"/>
    </xf>
    <xf numFmtId="177" fontId="3" fillId="0" borderId="10" xfId="136" applyNumberFormat="1" applyFont="1" applyFill="1" applyBorder="1" applyAlignment="1">
      <alignment horizontal="center" vertical="center" wrapText="1"/>
    </xf>
    <xf numFmtId="177" fontId="3" fillId="0" borderId="10" xfId="136" applyNumberFormat="1" applyFont="1" applyFill="1" applyBorder="1" applyAlignment="1">
      <alignment vertical="center" wrapText="1"/>
    </xf>
    <xf numFmtId="177" fontId="3" fillId="0" borderId="10" xfId="136" applyNumberFormat="1" applyFont="1" applyFill="1" applyBorder="1" applyAlignment="1">
      <alignment vertical="center"/>
    </xf>
    <xf numFmtId="0" fontId="3" fillId="0" borderId="0" xfId="34" applyFont="1" applyFill="1" applyBorder="1" applyAlignment="1">
      <alignment vertical="center"/>
      <protection/>
    </xf>
    <xf numFmtId="0" fontId="3" fillId="0" borderId="0" xfId="136" applyNumberFormat="1" applyFont="1" applyFill="1" applyAlignment="1">
      <alignment vertical="center" wrapText="1"/>
    </xf>
    <xf numFmtId="0" fontId="3" fillId="0" borderId="0" xfId="136" applyNumberFormat="1" applyFont="1" applyFill="1" applyAlignment="1">
      <alignment horizontal="left" vertical="center" wrapText="1"/>
    </xf>
    <xf numFmtId="0" fontId="0" fillId="0" borderId="21" xfId="0" applyBorder="1" applyAlignment="1">
      <alignment/>
    </xf>
    <xf numFmtId="182" fontId="3" fillId="0" borderId="10" xfId="136" applyNumberFormat="1" applyFont="1" applyFill="1" applyBorder="1" applyAlignment="1">
      <alignment horizontal="center" vertical="center" wrapText="1"/>
    </xf>
    <xf numFmtId="0" fontId="3" fillId="0" borderId="22" xfId="136" applyNumberFormat="1" applyFont="1" applyFill="1" applyBorder="1" applyAlignment="1" applyProtection="1">
      <alignment horizontal="left" vertical="center" wrapText="1"/>
      <protection locked="0"/>
    </xf>
    <xf numFmtId="182" fontId="3" fillId="0" borderId="10" xfId="136" applyNumberFormat="1" applyFont="1" applyFill="1" applyBorder="1" applyAlignment="1">
      <alignment horizontal="center" vertical="center"/>
    </xf>
    <xf numFmtId="177" fontId="3" fillId="0" borderId="10" xfId="136" applyNumberFormat="1" applyFont="1" applyFill="1" applyBorder="1" applyAlignment="1">
      <alignment horizontal="center" vertical="center"/>
    </xf>
    <xf numFmtId="0" fontId="3" fillId="0" borderId="0" xfId="136" applyNumberFormat="1" applyFont="1" applyFill="1" applyAlignment="1">
      <alignment horizontal="center" vertical="center" wrapText="1"/>
    </xf>
    <xf numFmtId="0" fontId="11" fillId="0" borderId="0" xfId="34" applyFont="1" applyFill="1">
      <alignment/>
      <protection/>
    </xf>
    <xf numFmtId="0" fontId="3" fillId="0" borderId="0" xfId="34" applyFont="1" applyFill="1" applyAlignment="1">
      <alignment horizontal="center"/>
      <protection/>
    </xf>
    <xf numFmtId="0" fontId="3" fillId="0" borderId="0" xfId="34" applyFont="1" applyFill="1" applyAlignment="1">
      <alignment horizontal="center" wrapText="1"/>
      <protection/>
    </xf>
    <xf numFmtId="0" fontId="3" fillId="0" borderId="0" xfId="34" applyFont="1" applyFill="1" applyAlignment="1">
      <alignment horizontal="center" vertical="center" wrapText="1"/>
      <protection/>
    </xf>
    <xf numFmtId="0" fontId="3" fillId="0" borderId="0" xfId="34" applyFont="1" applyFill="1" applyAlignment="1">
      <alignment horizontal="left" vertical="center"/>
      <protection/>
    </xf>
    <xf numFmtId="0" fontId="3" fillId="0" borderId="0" xfId="34" applyFont="1" applyFill="1" applyAlignment="1">
      <alignment horizontal="right" vertical="center"/>
      <protection/>
    </xf>
    <xf numFmtId="0" fontId="3" fillId="0" borderId="10" xfId="34" applyFont="1" applyFill="1" applyBorder="1" applyAlignment="1">
      <alignment horizontal="center" vertical="center" textRotation="255"/>
      <protection/>
    </xf>
    <xf numFmtId="0" fontId="3" fillId="0" borderId="22" xfId="34" applyFont="1" applyFill="1" applyBorder="1" applyAlignment="1">
      <alignment horizontal="center" vertical="center" wrapText="1"/>
      <protection/>
    </xf>
    <xf numFmtId="0" fontId="3" fillId="0" borderId="22" xfId="34" applyFont="1" applyFill="1" applyBorder="1" applyAlignment="1">
      <alignment vertical="center"/>
      <protection/>
    </xf>
    <xf numFmtId="0" fontId="3" fillId="0" borderId="23" xfId="34" applyFont="1" applyFill="1" applyBorder="1" applyAlignment="1">
      <alignment horizontal="right" vertical="center"/>
      <protection/>
    </xf>
    <xf numFmtId="0" fontId="3" fillId="0" borderId="23" xfId="34" applyFont="1" applyFill="1" applyBorder="1" applyAlignment="1">
      <alignment vertical="center"/>
      <protection/>
    </xf>
    <xf numFmtId="0" fontId="3" fillId="0" borderId="21" xfId="34" applyFont="1" applyFill="1" applyBorder="1" applyAlignment="1">
      <alignment vertical="center"/>
      <protection/>
    </xf>
    <xf numFmtId="0" fontId="3" fillId="0" borderId="21" xfId="34" applyFont="1" applyFill="1" applyBorder="1" applyAlignment="1">
      <alignment horizontal="center" vertical="center"/>
      <protection/>
    </xf>
    <xf numFmtId="0" fontId="3" fillId="0" borderId="10" xfId="34" applyFont="1" applyFill="1" applyBorder="1" applyAlignment="1">
      <alignment horizontal="center" vertical="center" wrapText="1"/>
      <protection/>
    </xf>
    <xf numFmtId="0" fontId="3" fillId="0" borderId="15" xfId="34" applyFont="1" applyFill="1" applyBorder="1" applyAlignment="1">
      <alignment horizontal="center" vertical="center"/>
      <protection/>
    </xf>
    <xf numFmtId="0" fontId="3" fillId="0" borderId="15" xfId="34" applyFont="1" applyFill="1" applyBorder="1" applyAlignment="1">
      <alignment horizontal="center" vertical="center" wrapText="1"/>
      <protection/>
    </xf>
    <xf numFmtId="0" fontId="3" fillId="0" borderId="10" xfId="34" applyFont="1" applyFill="1" applyBorder="1" applyAlignment="1">
      <alignment horizontal="center" vertical="center"/>
      <protection/>
    </xf>
    <xf numFmtId="49" fontId="3" fillId="0" borderId="10" xfId="34" applyNumberFormat="1" applyFont="1" applyFill="1" applyBorder="1" applyAlignment="1">
      <alignment horizontal="center" vertical="center"/>
      <protection/>
    </xf>
    <xf numFmtId="2" fontId="3" fillId="0" borderId="10" xfId="34" applyNumberFormat="1" applyFont="1" applyFill="1" applyBorder="1" applyAlignment="1">
      <alignment vertical="center"/>
      <protection/>
    </xf>
    <xf numFmtId="182" fontId="3" fillId="0" borderId="10" xfId="34" applyNumberFormat="1" applyFont="1" applyFill="1" applyBorder="1" applyAlignment="1">
      <alignment horizontal="right" vertical="center"/>
      <protection/>
    </xf>
    <xf numFmtId="0" fontId="11" fillId="0" borderId="10" xfId="34" applyFont="1" applyFill="1" applyBorder="1" applyAlignment="1">
      <alignment vertical="center"/>
      <protection/>
    </xf>
    <xf numFmtId="0" fontId="11" fillId="0" borderId="10" xfId="34" applyFont="1" applyFill="1" applyBorder="1" applyAlignment="1">
      <alignment horizontal="center" vertical="center" wrapText="1"/>
      <protection/>
    </xf>
    <xf numFmtId="2" fontId="11" fillId="0" borderId="10" xfId="34" applyNumberFormat="1" applyFont="1" applyFill="1" applyBorder="1" applyAlignment="1">
      <alignment vertical="center"/>
      <protection/>
    </xf>
    <xf numFmtId="0" fontId="11" fillId="0" borderId="10" xfId="34" applyFont="1" applyFill="1" applyBorder="1" applyAlignment="1">
      <alignment horizontal="center" vertical="center"/>
      <protection/>
    </xf>
    <xf numFmtId="0" fontId="3" fillId="0" borderId="10" xfId="34" applyFont="1" applyFill="1" applyBorder="1" applyAlignment="1">
      <alignment horizontal="right" vertical="center" wrapText="1"/>
      <protection/>
    </xf>
    <xf numFmtId="0" fontId="3" fillId="0" borderId="10" xfId="34" applyFont="1" applyBorder="1" applyAlignment="1">
      <alignment horizontal="center" vertical="center"/>
      <protection/>
    </xf>
    <xf numFmtId="0" fontId="3" fillId="0" borderId="10" xfId="34" applyFont="1" applyBorder="1" applyAlignment="1">
      <alignment horizontal="right" vertical="center" wrapText="1"/>
      <protection/>
    </xf>
    <xf numFmtId="2" fontId="3" fillId="0" borderId="10" xfId="34" applyNumberFormat="1" applyFont="1" applyBorder="1" applyAlignment="1">
      <alignment vertical="center"/>
      <protection/>
    </xf>
    <xf numFmtId="0" fontId="3" fillId="0" borderId="10" xfId="123" applyFont="1" applyBorder="1" applyAlignment="1">
      <alignment horizontal="right" vertical="center" wrapText="1"/>
      <protection/>
    </xf>
    <xf numFmtId="0" fontId="3" fillId="0" borderId="10" xfId="123" applyFont="1" applyFill="1" applyBorder="1" applyAlignment="1">
      <alignment horizontal="right" vertical="center" wrapText="1"/>
      <protection/>
    </xf>
    <xf numFmtId="0" fontId="3" fillId="0" borderId="10" xfId="34" applyFont="1" applyFill="1" applyBorder="1" applyAlignment="1">
      <alignment vertical="center"/>
      <protection/>
    </xf>
    <xf numFmtId="0" fontId="3" fillId="0" borderId="0" xfId="34" applyFont="1" applyFill="1" applyBorder="1" applyAlignment="1">
      <alignment horizontal="left" vertical="center"/>
      <protection/>
    </xf>
    <xf numFmtId="183" fontId="3" fillId="0" borderId="10" xfId="124" applyNumberFormat="1" applyFont="1" applyBorder="1" applyAlignment="1">
      <alignment horizontal="center" vertical="center"/>
      <protection/>
    </xf>
    <xf numFmtId="184" fontId="11" fillId="0" borderId="0" xfId="34" applyNumberFormat="1" applyFont="1" applyFill="1" applyAlignment="1">
      <alignment vertical="center"/>
      <protection/>
    </xf>
    <xf numFmtId="181" fontId="3" fillId="0" borderId="10" xfId="34" applyNumberFormat="1" applyFont="1" applyFill="1" applyBorder="1" applyAlignment="1">
      <alignment horizontal="center" vertical="center"/>
      <protection/>
    </xf>
    <xf numFmtId="185" fontId="11" fillId="0" borderId="10" xfId="152" applyNumberFormat="1" applyFont="1" applyFill="1" applyBorder="1" applyAlignment="1">
      <alignment horizontal="center" vertical="center"/>
      <protection/>
    </xf>
    <xf numFmtId="186" fontId="11" fillId="0" borderId="10" xfId="34" applyNumberFormat="1" applyFont="1" applyFill="1" applyBorder="1" applyAlignment="1">
      <alignment horizontal="right" vertical="center"/>
      <protection/>
    </xf>
    <xf numFmtId="2" fontId="11" fillId="0" borderId="0" xfId="34" applyNumberFormat="1" applyFont="1" applyFill="1" applyBorder="1" applyAlignment="1">
      <alignment vertical="center"/>
      <protection/>
    </xf>
    <xf numFmtId="2" fontId="11" fillId="0" borderId="0" xfId="34" applyNumberFormat="1" applyFont="1" applyFill="1" applyBorder="1">
      <alignment/>
      <protection/>
    </xf>
    <xf numFmtId="186" fontId="3" fillId="0" borderId="10" xfId="34" applyNumberFormat="1" applyFont="1" applyFill="1" applyBorder="1" applyAlignment="1">
      <alignment horizontal="center" vertical="center"/>
      <protection/>
    </xf>
    <xf numFmtId="0" fontId="3" fillId="0" borderId="0" xfId="34" applyFont="1" applyFill="1" applyBorder="1">
      <alignment/>
      <protection/>
    </xf>
    <xf numFmtId="187" fontId="3" fillId="0" borderId="10" xfId="34" applyNumberFormat="1" applyFont="1" applyFill="1" applyBorder="1" applyAlignment="1">
      <alignment horizontal="center" vertical="center"/>
      <protection/>
    </xf>
    <xf numFmtId="188" fontId="3" fillId="0" borderId="0" xfId="34" applyNumberFormat="1" applyFont="1" applyFill="1" applyBorder="1" applyAlignment="1">
      <alignment horizontal="center" vertical="center"/>
      <protection/>
    </xf>
    <xf numFmtId="182" fontId="3" fillId="0" borderId="10" xfId="34" applyNumberFormat="1" applyFont="1" applyFill="1" applyBorder="1" applyAlignment="1">
      <alignment horizontal="center" vertical="center"/>
      <protection/>
    </xf>
    <xf numFmtId="186" fontId="3" fillId="0" borderId="0" xfId="34" applyNumberFormat="1" applyFont="1" applyFill="1" applyBorder="1" applyAlignment="1">
      <alignment horizontal="right" vertical="center"/>
      <protection/>
    </xf>
    <xf numFmtId="0" fontId="12" fillId="0" borderId="0" xfId="0" applyFont="1" applyBorder="1" applyAlignment="1">
      <alignment horizontal="center"/>
    </xf>
    <xf numFmtId="182" fontId="3" fillId="0" borderId="10" xfId="34" applyNumberFormat="1" applyFont="1" applyBorder="1" applyAlignment="1">
      <alignment horizontal="center" vertical="center"/>
      <protection/>
    </xf>
    <xf numFmtId="186" fontId="3" fillId="0" borderId="0" xfId="34" applyNumberFormat="1" applyFont="1" applyAlignment="1">
      <alignment horizontal="right" vertical="center"/>
      <protection/>
    </xf>
    <xf numFmtId="0" fontId="12" fillId="0" borderId="0" xfId="0" applyFont="1" applyAlignment="1">
      <alignment horizontal="center"/>
    </xf>
    <xf numFmtId="181" fontId="3" fillId="0" borderId="0" xfId="34" applyNumberFormat="1" applyFont="1" applyFill="1">
      <alignment/>
      <protection/>
    </xf>
    <xf numFmtId="179" fontId="3" fillId="0" borderId="0" xfId="34" applyNumberFormat="1" applyFont="1" applyFill="1">
      <alignment/>
      <protection/>
    </xf>
    <xf numFmtId="179" fontId="3" fillId="0" borderId="0" xfId="34" applyNumberFormat="1" applyFont="1">
      <alignment/>
      <protection/>
    </xf>
    <xf numFmtId="182" fontId="3" fillId="0" borderId="10" xfId="34" applyNumberFormat="1" applyFont="1" applyFill="1" applyBorder="1" applyAlignment="1">
      <alignment vertical="center"/>
      <protection/>
    </xf>
    <xf numFmtId="0" fontId="3" fillId="0" borderId="10" xfId="34" applyFont="1" applyBorder="1" applyAlignment="1">
      <alignment vertical="center"/>
      <protection/>
    </xf>
    <xf numFmtId="0" fontId="3" fillId="0" borderId="0" xfId="34" applyFont="1" applyFill="1" applyBorder="1" applyAlignment="1">
      <alignment horizontal="center" vertical="center" wrapText="1"/>
      <protection/>
    </xf>
    <xf numFmtId="0" fontId="3" fillId="0" borderId="0" xfId="34" applyFont="1" applyFill="1" applyBorder="1" applyAlignment="1">
      <alignment horizontal="center" vertical="center"/>
      <protection/>
    </xf>
    <xf numFmtId="0" fontId="3" fillId="0" borderId="0" xfId="34" applyFont="1" applyFill="1" applyAlignment="1">
      <alignment wrapText="1"/>
      <protection/>
    </xf>
    <xf numFmtId="10" fontId="3" fillId="0" borderId="0" xfId="34" applyNumberFormat="1" applyFont="1" applyFill="1" applyAlignment="1">
      <alignment horizontal="center"/>
      <protection/>
    </xf>
    <xf numFmtId="189" fontId="3" fillId="0" borderId="0" xfId="34" applyNumberFormat="1" applyFont="1" applyFill="1">
      <alignment/>
      <protection/>
    </xf>
    <xf numFmtId="187" fontId="3" fillId="0" borderId="0" xfId="34" applyNumberFormat="1" applyFont="1" applyFill="1">
      <alignment/>
      <protection/>
    </xf>
    <xf numFmtId="9" fontId="3" fillId="0" borderId="0" xfId="34" applyNumberFormat="1" applyFont="1" applyFill="1">
      <alignment/>
      <protection/>
    </xf>
    <xf numFmtId="190" fontId="3" fillId="0" borderId="0" xfId="34" applyNumberFormat="1" applyFont="1" applyFill="1">
      <alignment/>
      <protection/>
    </xf>
    <xf numFmtId="2" fontId="3" fillId="0" borderId="0" xfId="34" applyNumberFormat="1" applyFont="1" applyFill="1" applyBorder="1" applyAlignment="1">
      <alignment vertical="center"/>
      <protection/>
    </xf>
    <xf numFmtId="186" fontId="3" fillId="0" borderId="10" xfId="34" applyNumberFormat="1" applyFont="1" applyBorder="1" applyAlignment="1">
      <alignment horizontal="center" vertical="center"/>
      <protection/>
    </xf>
    <xf numFmtId="188" fontId="3" fillId="0" borderId="10" xfId="34" applyNumberFormat="1" applyFont="1" applyBorder="1" applyAlignment="1">
      <alignment horizontal="center" vertical="center"/>
      <protection/>
    </xf>
    <xf numFmtId="184" fontId="3" fillId="0" borderId="0" xfId="34" applyNumberFormat="1" applyFont="1">
      <alignment/>
      <protection/>
    </xf>
    <xf numFmtId="185" fontId="11" fillId="0" borderId="10" xfId="152" applyNumberFormat="1" applyFont="1" applyBorder="1" applyAlignment="1">
      <alignment horizontal="center" vertical="center"/>
      <protection/>
    </xf>
    <xf numFmtId="186" fontId="11" fillId="0" borderId="10" xfId="34" applyNumberFormat="1" applyFont="1" applyFill="1" applyBorder="1" applyAlignment="1">
      <alignment horizontal="center" vertical="center"/>
      <protection/>
    </xf>
    <xf numFmtId="9" fontId="11" fillId="0" borderId="10" xfId="34" applyNumberFormat="1" applyFont="1" applyFill="1" applyBorder="1" applyAlignment="1">
      <alignment horizontal="center" vertical="center"/>
      <protection/>
    </xf>
    <xf numFmtId="181" fontId="3" fillId="0" borderId="10" xfId="34" applyNumberFormat="1" applyFont="1" applyFill="1" applyBorder="1" applyAlignment="1">
      <alignment horizontal="right" vertical="center"/>
      <protection/>
    </xf>
    <xf numFmtId="9" fontId="3" fillId="0" borderId="10" xfId="34" applyNumberFormat="1" applyFont="1" applyFill="1" applyBorder="1" applyAlignment="1">
      <alignment horizontal="center" vertical="center"/>
      <protection/>
    </xf>
    <xf numFmtId="186" fontId="3" fillId="0" borderId="10" xfId="34" applyNumberFormat="1" applyFont="1" applyFill="1" applyBorder="1" applyAlignment="1">
      <alignment horizontal="right" vertical="center"/>
      <protection/>
    </xf>
    <xf numFmtId="10" fontId="3" fillId="0" borderId="0" xfId="34" applyNumberFormat="1" applyFont="1" applyFill="1">
      <alignment/>
      <protection/>
    </xf>
    <xf numFmtId="188" fontId="3" fillId="0" borderId="0" xfId="34" applyNumberFormat="1" applyFont="1" applyFill="1">
      <alignment/>
      <protection/>
    </xf>
    <xf numFmtId="183" fontId="3" fillId="0" borderId="0" xfId="34" applyNumberFormat="1" applyFont="1" applyFill="1">
      <alignment/>
      <protection/>
    </xf>
    <xf numFmtId="184" fontId="11" fillId="0" borderId="0" xfId="34" applyNumberFormat="1" applyFont="1" applyFill="1">
      <alignment/>
      <protection/>
    </xf>
  </cellXfs>
  <cellStyles count="14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常规_投资概算(13-7-05)-tz)" xfId="28"/>
    <cellStyle name="40% - 强调文字颜色 1 2 2" xfId="29"/>
    <cellStyle name="Percent" xfId="30"/>
    <cellStyle name="20% - 强调文字颜色 2 2 2" xfId="31"/>
    <cellStyle name="Followed Hyperlink" xfId="32"/>
    <cellStyle name="注释" xfId="33"/>
    <cellStyle name="常规_概算(12-10-13-tz)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40% - 强调文字颜色 1 2" xfId="54"/>
    <cellStyle name="汇总" xfId="55"/>
    <cellStyle name="好" xfId="56"/>
    <cellStyle name="40% - 强调文字颜色 2 2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20% - 强调文字颜色 4 2 2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适中 2" xfId="76"/>
    <cellStyle name="60% - 强调文字颜色 6" xfId="77"/>
    <cellStyle name="20% - 强调文字颜色 3 2" xfId="78"/>
    <cellStyle name="20% - 强调文字颜色 1 2 2" xfId="79"/>
    <cellStyle name="20% - 强调文字颜色 2 2" xfId="80"/>
    <cellStyle name="输出 2 2" xfId="81"/>
    <cellStyle name="20% - 强调文字颜色 4 2" xfId="82"/>
    <cellStyle name="20% - 强调文字颜色 5 2" xfId="83"/>
    <cellStyle name="20% - 强调文字颜色 5 2 2" xfId="84"/>
    <cellStyle name="20% - 强调文字颜色 6 2" xfId="85"/>
    <cellStyle name="20% - 强调文字颜色 6 2 2" xfId="86"/>
    <cellStyle name="40% - 强调文字颜色 2 2 2" xfId="87"/>
    <cellStyle name="40% - 强调文字颜色 3 2" xfId="88"/>
    <cellStyle name="计算 2 2" xfId="89"/>
    <cellStyle name="40% - 强调文字颜色 3 2 2" xfId="90"/>
    <cellStyle name="40% - 强调文字颜色 4 2 2" xfId="91"/>
    <cellStyle name="检查单元格 2" xfId="92"/>
    <cellStyle name="40% - 强调文字颜色 5 2" xfId="93"/>
    <cellStyle name="40% - 强调文字颜色 5 2 2" xfId="94"/>
    <cellStyle name="40% - 强调文字颜色 6 2" xfId="95"/>
    <cellStyle name="适中 2 2" xfId="96"/>
    <cellStyle name="40% - 强调文字颜色 6 2 2" xfId="97"/>
    <cellStyle name="60% - 强调文字颜色 1 2" xfId="98"/>
    <cellStyle name="60% - 强调文字颜色 1 2 2" xfId="99"/>
    <cellStyle name="60% - 强调文字颜色 2 2" xfId="100"/>
    <cellStyle name="60% - 强调文字颜色 3 2" xfId="101"/>
    <cellStyle name="60% - 强调文字颜色 3 2 2" xfId="102"/>
    <cellStyle name="60% - 强调文字颜色 4 2" xfId="103"/>
    <cellStyle name="60% - 强调文字颜色 4 2 2" xfId="104"/>
    <cellStyle name="60% - 强调文字颜色 5 2" xfId="105"/>
    <cellStyle name="60% - 强调文字颜色 5 2 2" xfId="106"/>
    <cellStyle name="60% - 强调文字颜色 6 2" xfId="107"/>
    <cellStyle name="60% - 强调文字颜色 6 2 2" xfId="108"/>
    <cellStyle name="ColLevel_0" xfId="109"/>
    <cellStyle name="RowLevel_0" xfId="110"/>
    <cellStyle name="标题 1 2" xfId="111"/>
    <cellStyle name="标题 1 2 2" xfId="112"/>
    <cellStyle name="标题 2 2" xfId="113"/>
    <cellStyle name="标题 2 2 2" xfId="114"/>
    <cellStyle name="标题 3 2" xfId="115"/>
    <cellStyle name="标题 3 2 2" xfId="116"/>
    <cellStyle name="标题 4 2" xfId="117"/>
    <cellStyle name="标题 4 2 2" xfId="118"/>
    <cellStyle name="标题 5" xfId="119"/>
    <cellStyle name="标题 5 2" xfId="120"/>
    <cellStyle name="差 2" xfId="121"/>
    <cellStyle name="差 2 2" xfId="122"/>
    <cellStyle name="常规_复件 概算(13-03-09-tz)" xfId="123"/>
    <cellStyle name="常规_投资概算(12-11-12-tz)" xfId="124"/>
    <cellStyle name="常规_土建工程量表" xfId="125"/>
    <cellStyle name="好 2" xfId="126"/>
    <cellStyle name="好 2 2" xfId="127"/>
    <cellStyle name="汇总 2" xfId="128"/>
    <cellStyle name="汇总 2 2" xfId="129"/>
    <cellStyle name="检查单元格 2 2" xfId="130"/>
    <cellStyle name="解释性文本 2" xfId="131"/>
    <cellStyle name="警告文本 2" xfId="132"/>
    <cellStyle name="警告文本 2 2" xfId="133"/>
    <cellStyle name="链接单元格 2" xfId="134"/>
    <cellStyle name="链接单元格 2 2" xfId="135"/>
    <cellStyle name="千位分隔_概算(12-10-13-tz)" xfId="136"/>
    <cellStyle name="千位分隔_概算(12-10-13-tz) 2" xfId="137"/>
    <cellStyle name="强调文字颜色 1 2" xfId="138"/>
    <cellStyle name="强调文字颜色 1 2 2" xfId="139"/>
    <cellStyle name="强调文字颜色 2 2" xfId="140"/>
    <cellStyle name="强调文字颜色 2 2 2" xfId="141"/>
    <cellStyle name="强调文字颜色 3 2" xfId="142"/>
    <cellStyle name="强调文字颜色 3 2 2" xfId="143"/>
    <cellStyle name="强调文字颜色 4 2" xfId="144"/>
    <cellStyle name="强调文字颜色 4 2 2" xfId="145"/>
    <cellStyle name="强调文字颜色 5 2" xfId="146"/>
    <cellStyle name="强调文字颜色 5 2 2" xfId="147"/>
    <cellStyle name="强调文字颜色 6 2" xfId="148"/>
    <cellStyle name="强调文字颜色 6 2 2" xfId="149"/>
    <cellStyle name="输入 2" xfId="150"/>
    <cellStyle name="输入 2 2" xfId="151"/>
    <cellStyle name="样式 1" xfId="152"/>
    <cellStyle name="注释 2" xfId="153"/>
    <cellStyle name="注释 2 2" xfId="154"/>
  </cellStyles>
  <dxfs count="3">
    <dxf>
      <font>
        <b/>
        <i val="0"/>
        <color rgb="FFFF0000"/>
      </font>
      <border/>
    </dxf>
    <dxf>
      <font>
        <b val="0"/>
        <i val="0"/>
        <color rgb="FFFFFFFF"/>
      </font>
      <border/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6"/>
        <xdr:cNvSpPr>
          <a:spLocks/>
        </xdr:cNvSpPr>
      </xdr:nvSpPr>
      <xdr:spPr>
        <a:xfrm>
          <a:off x="400050" y="542925"/>
          <a:ext cx="16573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00050" y="542925"/>
          <a:ext cx="16573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9525</xdr:rowOff>
    </xdr:from>
    <xdr:to>
      <xdr:col>2</xdr:col>
      <xdr:colOff>9525</xdr:colOff>
      <xdr:row>21</xdr:row>
      <xdr:rowOff>0</xdr:rowOff>
    </xdr:to>
    <xdr:sp>
      <xdr:nvSpPr>
        <xdr:cNvPr id="3" name="Line 18"/>
        <xdr:cNvSpPr>
          <a:spLocks/>
        </xdr:cNvSpPr>
      </xdr:nvSpPr>
      <xdr:spPr>
        <a:xfrm>
          <a:off x="400050" y="2809875"/>
          <a:ext cx="16573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9525</xdr:rowOff>
    </xdr:from>
    <xdr:to>
      <xdr:col>2</xdr:col>
      <xdr:colOff>9525</xdr:colOff>
      <xdr:row>21</xdr:row>
      <xdr:rowOff>0</xdr:rowOff>
    </xdr:to>
    <xdr:sp>
      <xdr:nvSpPr>
        <xdr:cNvPr id="4" name="Line 19"/>
        <xdr:cNvSpPr>
          <a:spLocks/>
        </xdr:cNvSpPr>
      </xdr:nvSpPr>
      <xdr:spPr>
        <a:xfrm>
          <a:off x="400050" y="2809875"/>
          <a:ext cx="16573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3</xdr:col>
      <xdr:colOff>0</xdr:colOff>
      <xdr:row>4</xdr:row>
      <xdr:rowOff>304800</xdr:rowOff>
    </xdr:to>
    <xdr:sp>
      <xdr:nvSpPr>
        <xdr:cNvPr id="1" name="Line 690"/>
        <xdr:cNvSpPr>
          <a:spLocks/>
        </xdr:cNvSpPr>
      </xdr:nvSpPr>
      <xdr:spPr>
        <a:xfrm>
          <a:off x="133350" y="619125"/>
          <a:ext cx="17049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36164;&#26009;-&#36896;&#20215;\FJ17001%20&#31119;&#28165;&#24066;&#31119;&#30334;&#22823;&#36947;&#65288;&#28165;&#24265;&#36335;-&#27773;&#19987;&#32447;&#65289;&#36947;&#36335;&#24037;&#31243;\2017.2.10&#31119;&#30334;&#22823;&#36947;&#21487;&#30740;&#20462;&#32534;&#20272;&#31639;\2017.2.11%20&#31119;&#30334;&#22823;&#36947;&#21487;&#30740;&#20272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all%20me%20by%20your%20name\0408%20&#32463;&#32428;&#20004;&#26465;&#36335;\&#32428;&#22235;&#36335;0407\&#32463;&#22235;&#36335;&#32428;&#22235;&#36335;&#27010;&#31639;\4.&#32463;&#22235;&#36335;&#24037;&#31243;&#27010;&#31639;&#27719;&#24635;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36164;&#26009;-&#36896;&#20215;\FJ17001%20&#31119;&#28165;&#24066;&#31119;&#30334;&#22823;&#36947;&#65288;&#28165;&#24265;&#36335;-&#27773;&#19987;&#32447;&#65289;&#36947;&#36335;&#24037;&#31243;\2017.2.10&#31119;&#30334;&#22823;&#36947;&#21487;&#30740;&#20462;&#32534;&#20272;&#31639;\&#27010;&#31639;(12-10-13-tz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all%20me%20by%20your%20name\0408%20&#32463;&#32428;&#20004;&#26465;&#36335;\&#32428;&#22235;&#36335;0407\&#32463;&#22235;&#36335;&#32428;&#22235;&#36335;&#27010;&#31639;\&#27010;&#31639;(12-10-13-tz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24037;&#31243;&#32463;&#27982;\&#31119;&#24314;\&#36130;&#23457;&#25991;&#20214;\&#19996;&#35199;&#20027;&#24178;&#36947;&#20108;&#26399;&#20462;&#32534;tz2013.3\&#22797;&#20214;%20&#27010;&#31639;(13-03-09-tz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(12-10-13-tz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36164;&#26009;-&#36896;&#20215;\FJ14022%20&#24179;&#28525;&#32508;&#21512;&#23454;&#39564;&#21306;&#22363;&#35199;&#22823;&#36947;&#36741;&#36947;&#65288;&#31481;&#23679;&#21475;&#65374;&#33487;&#24179;&#36335;&#65289;&#24037;&#31243;\2015.11.5%20&#24037;&#21487;&#20272;&#31639;&#20462;&#32534;\2015.11.5&#24179;&#28525;&#32508;&#21512;&#23454;&#39564;&#21306;&#22363;&#35199;&#22823;&#36947;&#36741;&#36947;&#65288;&#31481;&#23679;&#21475;&#65374;&#33487;&#24179;&#36335;&#65289;&#24037;&#31243;&#21487;&#30740;&#20272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表1"/>
      <sheetName val="表2"/>
      <sheetName val="表3表4"/>
      <sheetName val="表5"/>
      <sheetName val="Sheet1"/>
    </sheetNames>
    <sheetDataSet>
      <sheetData sheetId="1">
        <row r="93">
          <cell r="G93">
            <v>21275.7184</v>
          </cell>
        </row>
        <row r="101">
          <cell r="G101">
            <v>165.1924</v>
          </cell>
        </row>
        <row r="105">
          <cell r="G105">
            <v>29.4155432972275</v>
          </cell>
        </row>
        <row r="119">
          <cell r="G119">
            <v>22258.30700495252</v>
          </cell>
        </row>
        <row r="122">
          <cell r="G122">
            <v>1613.549770542626</v>
          </cell>
        </row>
        <row r="127">
          <cell r="G127">
            <v>33884.545181395144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表1"/>
      <sheetName val="表2"/>
      <sheetName val="表3表4"/>
      <sheetName val="表5"/>
      <sheetName val="Sheet1 (2)"/>
      <sheetName val="Sheet1"/>
    </sheetNames>
    <sheetDataSet>
      <sheetData sheetId="1">
        <row r="40">
          <cell r="C40">
            <v>921.4802</v>
          </cell>
          <cell r="D40">
            <v>0</v>
          </cell>
          <cell r="E40">
            <v>0</v>
          </cell>
          <cell r="G40">
            <v>921.4802</v>
          </cell>
        </row>
        <row r="50">
          <cell r="G50">
            <v>20.983999999999998</v>
          </cell>
        </row>
        <row r="56">
          <cell r="G56">
            <v>7.3718416</v>
          </cell>
        </row>
        <row r="80">
          <cell r="G80">
            <v>133.69412094532487</v>
          </cell>
        </row>
        <row r="83">
          <cell r="G83">
            <v>31.65522962835974</v>
          </cell>
        </row>
        <row r="86">
          <cell r="G86">
            <v>0</v>
          </cell>
        </row>
        <row r="87">
          <cell r="G87">
            <v>1086.8295505736846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估算1"/>
      <sheetName val="其他费用"/>
      <sheetName val="技经指标"/>
      <sheetName val="材料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估算1"/>
      <sheetName val="其他费用"/>
      <sheetName val="技经指标"/>
      <sheetName val="材料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表1"/>
      <sheetName val="表2"/>
      <sheetName val="表3表4"/>
      <sheetName val="表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估算1"/>
      <sheetName val="其他费用"/>
      <sheetName val="技经指标"/>
      <sheetName val="材料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表1"/>
      <sheetName val="表2"/>
      <sheetName val="表3表4"/>
      <sheetName val="表5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70"/>
  <sheetViews>
    <sheetView tabSelected="1" zoomScaleSheetLayoutView="55" workbookViewId="0" topLeftCell="A1">
      <selection activeCell="G104" sqref="G104"/>
    </sheetView>
  </sheetViews>
  <sheetFormatPr defaultColWidth="10.28125" defaultRowHeight="12.75" outlineLevelRow="1"/>
  <cols>
    <col min="1" max="1" width="6.421875" style="114" customWidth="1"/>
    <col min="2" max="2" width="38.7109375" style="115" customWidth="1"/>
    <col min="3" max="3" width="13.28125" style="114" customWidth="1"/>
    <col min="4" max="7" width="13.28125" style="76" customWidth="1"/>
    <col min="8" max="8" width="7.28125" style="114" customWidth="1"/>
    <col min="9" max="10" width="13.00390625" style="114" customWidth="1"/>
    <col min="11" max="11" width="8.8515625" style="114" customWidth="1"/>
    <col min="12" max="12" width="10.28125" style="76" customWidth="1"/>
    <col min="13" max="13" width="8.8515625" style="76" hidden="1" customWidth="1"/>
    <col min="14" max="14" width="15.00390625" style="76" hidden="1" customWidth="1"/>
    <col min="15" max="15" width="10.28125" style="76" hidden="1" customWidth="1"/>
    <col min="16" max="16" width="3.28125" style="76" customWidth="1"/>
    <col min="17" max="17" width="20.421875" style="76" customWidth="1"/>
    <col min="18" max="18" width="10.421875" style="76" bestFit="1" customWidth="1"/>
    <col min="19" max="16384" width="10.28125" style="76" customWidth="1"/>
  </cols>
  <sheetData>
    <row r="1" spans="2:11" ht="3.75" customHeight="1">
      <c r="B1" s="116"/>
      <c r="C1" s="117"/>
      <c r="D1" s="77"/>
      <c r="E1" s="77"/>
      <c r="F1" s="118"/>
      <c r="G1" s="118"/>
      <c r="H1" s="75"/>
      <c r="I1" s="75"/>
      <c r="J1" s="75"/>
      <c r="K1" s="144"/>
    </row>
    <row r="2" spans="1:11" ht="21" customHeight="1">
      <c r="A2" s="119" t="s">
        <v>0</v>
      </c>
      <c r="B2" s="120" t="s">
        <v>1</v>
      </c>
      <c r="C2" s="121"/>
      <c r="D2" s="122" t="s">
        <v>2</v>
      </c>
      <c r="E2" s="123" t="s">
        <v>3</v>
      </c>
      <c r="F2" s="123"/>
      <c r="G2" s="124"/>
      <c r="H2" s="125" t="s">
        <v>4</v>
      </c>
      <c r="I2" s="129"/>
      <c r="J2" s="129"/>
      <c r="K2" s="126" t="s">
        <v>5</v>
      </c>
    </row>
    <row r="3" spans="1:11" ht="28.5" customHeight="1">
      <c r="A3" s="119"/>
      <c r="B3" s="126"/>
      <c r="C3" s="127" t="s">
        <v>6</v>
      </c>
      <c r="D3" s="127" t="s">
        <v>7</v>
      </c>
      <c r="E3" s="128" t="s">
        <v>8</v>
      </c>
      <c r="F3" s="127" t="s">
        <v>9</v>
      </c>
      <c r="G3" s="127" t="s">
        <v>10</v>
      </c>
      <c r="H3" s="129" t="s">
        <v>11</v>
      </c>
      <c r="I3" s="129" t="s">
        <v>12</v>
      </c>
      <c r="J3" s="126" t="s">
        <v>13</v>
      </c>
      <c r="K3" s="126"/>
    </row>
    <row r="4" spans="1:11" ht="18" customHeight="1">
      <c r="A4" s="129">
        <v>1</v>
      </c>
      <c r="B4" s="126">
        <v>2</v>
      </c>
      <c r="C4" s="129">
        <v>3</v>
      </c>
      <c r="D4" s="129">
        <v>4</v>
      </c>
      <c r="E4" s="129">
        <v>5</v>
      </c>
      <c r="F4" s="129">
        <v>6</v>
      </c>
      <c r="G4" s="129">
        <v>7</v>
      </c>
      <c r="H4" s="129">
        <v>8</v>
      </c>
      <c r="I4" s="129">
        <v>9</v>
      </c>
      <c r="J4" s="129">
        <v>10</v>
      </c>
      <c r="K4" s="129">
        <v>11</v>
      </c>
    </row>
    <row r="5" spans="1:14" s="77" customFormat="1" ht="18" customHeight="1">
      <c r="A5" s="130" t="s">
        <v>14</v>
      </c>
      <c r="B5" s="126" t="s">
        <v>15</v>
      </c>
      <c r="C5" s="131"/>
      <c r="D5" s="131"/>
      <c r="E5" s="131"/>
      <c r="F5" s="131"/>
      <c r="G5" s="131"/>
      <c r="H5" s="129"/>
      <c r="I5" s="129"/>
      <c r="J5" s="129"/>
      <c r="K5" s="129"/>
      <c r="M5" s="77" t="s">
        <v>16</v>
      </c>
      <c r="N5" s="77" t="s">
        <v>17</v>
      </c>
    </row>
    <row r="6" spans="1:17" ht="18" customHeight="1">
      <c r="A6" s="129" t="s">
        <v>18</v>
      </c>
      <c r="B6" s="126" t="s">
        <v>19</v>
      </c>
      <c r="C6" s="132">
        <f>SUM(C7:C13)</f>
        <v>239.07979999999998</v>
      </c>
      <c r="D6" s="132"/>
      <c r="E6" s="132"/>
      <c r="F6" s="132"/>
      <c r="G6" s="132">
        <f>SUM(G7:G13)</f>
        <v>239.07979999999998</v>
      </c>
      <c r="H6" s="129" t="s">
        <v>20</v>
      </c>
      <c r="I6" s="145">
        <f>170.9/1000</f>
        <v>0.1709</v>
      </c>
      <c r="J6" s="132">
        <f>G6/I6*10000</f>
        <v>13989455.822118198</v>
      </c>
      <c r="K6" s="129"/>
      <c r="M6" s="76">
        <v>345.47</v>
      </c>
      <c r="N6" s="146">
        <f aca="true" t="shared" si="0" ref="N6:N14">G6-M6</f>
        <v>-106.39020000000005</v>
      </c>
      <c r="Q6" s="162"/>
    </row>
    <row r="7" spans="1:17" ht="33.75" customHeight="1">
      <c r="A7" s="129">
        <v>1</v>
      </c>
      <c r="B7" s="126" t="s">
        <v>21</v>
      </c>
      <c r="C7" s="131">
        <f>1113905/10000</f>
        <v>111.3905</v>
      </c>
      <c r="D7" s="131"/>
      <c r="E7" s="131"/>
      <c r="F7" s="131"/>
      <c r="G7" s="131">
        <f aca="true" t="shared" si="1" ref="G7:G20">SUM(C7:F7)</f>
        <v>111.3905</v>
      </c>
      <c r="H7" s="129" t="s">
        <v>22</v>
      </c>
      <c r="I7" s="147">
        <v>2654</v>
      </c>
      <c r="J7" s="132">
        <f aca="true" t="shared" si="2" ref="J7:J20">G7/I7*10000</f>
        <v>419.707987942728</v>
      </c>
      <c r="K7" s="129"/>
      <c r="N7" s="146">
        <f t="shared" si="0"/>
        <v>111.3905</v>
      </c>
      <c r="Q7" s="162"/>
    </row>
    <row r="8" spans="1:17" ht="27.75" customHeight="1">
      <c r="A8" s="129">
        <v>2</v>
      </c>
      <c r="B8" s="126" t="s">
        <v>23</v>
      </c>
      <c r="C8" s="131">
        <f>93792/10000</f>
        <v>9.3792</v>
      </c>
      <c r="D8" s="131"/>
      <c r="E8" s="131"/>
      <c r="F8" s="131"/>
      <c r="G8" s="131">
        <f t="shared" si="1"/>
        <v>9.3792</v>
      </c>
      <c r="H8" s="129" t="s">
        <v>22</v>
      </c>
      <c r="I8" s="147">
        <v>462</v>
      </c>
      <c r="J8" s="132">
        <f t="shared" si="2"/>
        <v>203.01298701298703</v>
      </c>
      <c r="K8" s="126"/>
      <c r="N8" s="146">
        <f t="shared" si="0"/>
        <v>9.3792</v>
      </c>
      <c r="Q8" s="162"/>
    </row>
    <row r="9" spans="1:17" ht="18" customHeight="1">
      <c r="A9" s="129">
        <v>3</v>
      </c>
      <c r="B9" s="126" t="s">
        <v>24</v>
      </c>
      <c r="C9" s="131">
        <f>27871/10000</f>
        <v>2.7871</v>
      </c>
      <c r="D9" s="131"/>
      <c r="E9" s="131"/>
      <c r="F9" s="131"/>
      <c r="G9" s="131">
        <f t="shared" si="1"/>
        <v>2.7871</v>
      </c>
      <c r="H9" s="129" t="s">
        <v>25</v>
      </c>
      <c r="I9" s="147">
        <v>142</v>
      </c>
      <c r="J9" s="132">
        <f t="shared" si="2"/>
        <v>196.27464788732397</v>
      </c>
      <c r="K9" s="129"/>
      <c r="N9" s="146">
        <f t="shared" si="0"/>
        <v>2.7871</v>
      </c>
      <c r="Q9" s="162"/>
    </row>
    <row r="10" spans="1:17" ht="18" customHeight="1">
      <c r="A10" s="129">
        <v>4</v>
      </c>
      <c r="B10" s="126" t="s">
        <v>26</v>
      </c>
      <c r="C10" s="131">
        <f>11378/10000</f>
        <v>1.1378</v>
      </c>
      <c r="D10" s="131"/>
      <c r="E10" s="131"/>
      <c r="F10" s="131"/>
      <c r="G10" s="131">
        <f t="shared" si="1"/>
        <v>1.1378</v>
      </c>
      <c r="H10" s="129" t="s">
        <v>25</v>
      </c>
      <c r="I10" s="147">
        <v>128</v>
      </c>
      <c r="J10" s="132">
        <f t="shared" si="2"/>
        <v>88.890625</v>
      </c>
      <c r="K10" s="129"/>
      <c r="N10" s="146">
        <f t="shared" si="0"/>
        <v>1.1378</v>
      </c>
      <c r="Q10" s="162"/>
    </row>
    <row r="11" spans="1:17" ht="18" customHeight="1">
      <c r="A11" s="129">
        <v>5</v>
      </c>
      <c r="B11" s="126" t="s">
        <v>27</v>
      </c>
      <c r="C11" s="131">
        <f>121706/10000</f>
        <v>12.1706</v>
      </c>
      <c r="D11" s="131"/>
      <c r="E11" s="131"/>
      <c r="F11" s="131"/>
      <c r="G11" s="131">
        <f t="shared" si="1"/>
        <v>12.1706</v>
      </c>
      <c r="H11" s="129" t="s">
        <v>28</v>
      </c>
      <c r="I11" s="147">
        <v>1</v>
      </c>
      <c r="J11" s="132">
        <f t="shared" si="2"/>
        <v>121706</v>
      </c>
      <c r="K11" s="129"/>
      <c r="N11" s="146">
        <f t="shared" si="0"/>
        <v>12.1706</v>
      </c>
      <c r="Q11" s="162"/>
    </row>
    <row r="12" spans="1:17" ht="18" customHeight="1">
      <c r="A12" s="129">
        <v>6</v>
      </c>
      <c r="B12" s="126" t="s">
        <v>29</v>
      </c>
      <c r="C12" s="131">
        <f>162597/10000</f>
        <v>16.2597</v>
      </c>
      <c r="D12" s="131"/>
      <c r="E12" s="131"/>
      <c r="F12" s="131"/>
      <c r="G12" s="131">
        <f t="shared" si="1"/>
        <v>16.2597</v>
      </c>
      <c r="H12" s="129" t="s">
        <v>25</v>
      </c>
      <c r="I12" s="147">
        <v>450</v>
      </c>
      <c r="J12" s="132">
        <f t="shared" si="2"/>
        <v>361.32666666666665</v>
      </c>
      <c r="K12" s="129"/>
      <c r="N12" s="146">
        <f t="shared" si="0"/>
        <v>16.2597</v>
      </c>
      <c r="Q12" s="162"/>
    </row>
    <row r="13" spans="1:17" ht="18" customHeight="1">
      <c r="A13" s="129">
        <v>7</v>
      </c>
      <c r="B13" s="126" t="s">
        <v>30</v>
      </c>
      <c r="C13" s="131">
        <f>859549/10000</f>
        <v>85.9549</v>
      </c>
      <c r="D13" s="131"/>
      <c r="E13" s="131"/>
      <c r="F13" s="131"/>
      <c r="G13" s="131">
        <f t="shared" si="1"/>
        <v>85.9549</v>
      </c>
      <c r="H13" s="129" t="s">
        <v>31</v>
      </c>
      <c r="I13" s="147">
        <v>436.2</v>
      </c>
      <c r="J13" s="132">
        <f t="shared" si="2"/>
        <v>1970.5387436955523</v>
      </c>
      <c r="K13" s="129"/>
      <c r="N13" s="146">
        <f t="shared" si="0"/>
        <v>85.9549</v>
      </c>
      <c r="Q13" s="162"/>
    </row>
    <row r="14" spans="1:14" ht="18" customHeight="1">
      <c r="A14" s="129" t="s">
        <v>32</v>
      </c>
      <c r="B14" s="126" t="s">
        <v>33</v>
      </c>
      <c r="C14" s="132">
        <f>SUM(C15:C17)</f>
        <v>88.7027</v>
      </c>
      <c r="D14" s="132">
        <f>SUM(D15:D17)</f>
        <v>8.5</v>
      </c>
      <c r="E14" s="132">
        <f>SUM(E15:E17)</f>
        <v>42.5</v>
      </c>
      <c r="F14" s="132"/>
      <c r="G14" s="131">
        <f t="shared" si="1"/>
        <v>139.7027</v>
      </c>
      <c r="H14" s="129" t="s">
        <v>20</v>
      </c>
      <c r="I14" s="145">
        <f>170.9/1000</f>
        <v>0.1709</v>
      </c>
      <c r="J14" s="132">
        <f t="shared" si="2"/>
        <v>8174528.9643066125</v>
      </c>
      <c r="K14" s="129"/>
      <c r="M14" s="76">
        <v>345.47</v>
      </c>
      <c r="N14" s="146">
        <f t="shared" si="0"/>
        <v>-205.76730000000003</v>
      </c>
    </row>
    <row r="15" spans="1:14" ht="18" customHeight="1">
      <c r="A15" s="129">
        <v>1</v>
      </c>
      <c r="B15" s="126" t="s">
        <v>34</v>
      </c>
      <c r="C15" s="131">
        <f>472081/10000</f>
        <v>47.2081</v>
      </c>
      <c r="D15" s="131"/>
      <c r="E15" s="131"/>
      <c r="F15" s="131"/>
      <c r="G15" s="131">
        <f t="shared" si="1"/>
        <v>47.2081</v>
      </c>
      <c r="H15" s="129" t="s">
        <v>20</v>
      </c>
      <c r="I15" s="145">
        <f>170.9/1000</f>
        <v>0.1709</v>
      </c>
      <c r="J15" s="132">
        <f t="shared" si="2"/>
        <v>2762322.9959040377</v>
      </c>
      <c r="K15" s="129"/>
      <c r="N15" s="146">
        <f aca="true" t="shared" si="3" ref="N15:N25">G15-M15</f>
        <v>47.2081</v>
      </c>
    </row>
    <row r="16" spans="1:14" ht="18" customHeight="1">
      <c r="A16" s="129">
        <v>2</v>
      </c>
      <c r="B16" s="126" t="s">
        <v>35</v>
      </c>
      <c r="C16" s="131">
        <f>24946/10000</f>
        <v>2.4946</v>
      </c>
      <c r="D16" s="131"/>
      <c r="E16" s="131"/>
      <c r="F16" s="131"/>
      <c r="G16" s="131">
        <f t="shared" si="1"/>
        <v>2.4946</v>
      </c>
      <c r="H16" s="129" t="s">
        <v>25</v>
      </c>
      <c r="I16" s="147">
        <v>110</v>
      </c>
      <c r="J16" s="132">
        <f t="shared" si="2"/>
        <v>226.7818181818182</v>
      </c>
      <c r="K16" s="129"/>
      <c r="N16" s="146">
        <f t="shared" si="3"/>
        <v>2.4946</v>
      </c>
    </row>
    <row r="17" spans="1:14" ht="18" customHeight="1">
      <c r="A17" s="129">
        <v>3</v>
      </c>
      <c r="B17" s="126" t="s">
        <v>36</v>
      </c>
      <c r="C17" s="131">
        <f>900000/10000-D17-E17</f>
        <v>39</v>
      </c>
      <c r="D17" s="131">
        <f>E17*0.2</f>
        <v>8.5</v>
      </c>
      <c r="E17" s="131">
        <f>42.5*I17</f>
        <v>42.5</v>
      </c>
      <c r="F17" s="131"/>
      <c r="G17" s="131">
        <f t="shared" si="1"/>
        <v>90</v>
      </c>
      <c r="H17" s="129" t="s">
        <v>37</v>
      </c>
      <c r="I17" s="147">
        <v>1</v>
      </c>
      <c r="J17" s="132">
        <f t="shared" si="2"/>
        <v>900000</v>
      </c>
      <c r="K17" s="129"/>
      <c r="N17" s="146">
        <f t="shared" si="3"/>
        <v>90</v>
      </c>
    </row>
    <row r="18" spans="1:14" ht="18" customHeight="1">
      <c r="A18" s="129" t="s">
        <v>38</v>
      </c>
      <c r="B18" s="126" t="s">
        <v>39</v>
      </c>
      <c r="C18" s="132">
        <f>SUM(C19:C20)</f>
        <v>2651.9253</v>
      </c>
      <c r="D18" s="132"/>
      <c r="E18" s="132"/>
      <c r="F18" s="132"/>
      <c r="G18" s="131">
        <f t="shared" si="1"/>
        <v>2651.9253</v>
      </c>
      <c r="H18" s="129" t="s">
        <v>20</v>
      </c>
      <c r="I18" s="145">
        <f>170.9/1000</f>
        <v>0.1709</v>
      </c>
      <c r="J18" s="132">
        <f t="shared" si="2"/>
        <v>155174095.9625512</v>
      </c>
      <c r="K18" s="129"/>
      <c r="M18" s="76">
        <v>345.47</v>
      </c>
      <c r="N18" s="146">
        <f t="shared" si="3"/>
        <v>2306.4552999999996</v>
      </c>
    </row>
    <row r="19" spans="1:14" ht="18" customHeight="1">
      <c r="A19" s="129">
        <v>1</v>
      </c>
      <c r="B19" s="126" t="s">
        <v>40</v>
      </c>
      <c r="C19" s="131">
        <f>25837030/10000</f>
        <v>2583.703</v>
      </c>
      <c r="D19" s="131"/>
      <c r="E19" s="131"/>
      <c r="F19" s="131"/>
      <c r="G19" s="131">
        <f t="shared" si="1"/>
        <v>2583.703</v>
      </c>
      <c r="H19" s="129" t="s">
        <v>22</v>
      </c>
      <c r="I19" s="147">
        <v>2641</v>
      </c>
      <c r="J19" s="132">
        <f t="shared" si="2"/>
        <v>9783.048087845513</v>
      </c>
      <c r="K19" s="129"/>
      <c r="N19" s="146">
        <f t="shared" si="3"/>
        <v>2583.703</v>
      </c>
    </row>
    <row r="20" spans="1:14" ht="18" customHeight="1">
      <c r="A20" s="129">
        <v>2</v>
      </c>
      <c r="B20" s="126" t="s">
        <v>41</v>
      </c>
      <c r="C20" s="131">
        <f>682223/10000</f>
        <v>68.2223</v>
      </c>
      <c r="D20" s="131"/>
      <c r="E20" s="131"/>
      <c r="F20" s="131"/>
      <c r="G20" s="131">
        <f t="shared" si="1"/>
        <v>68.2223</v>
      </c>
      <c r="H20" s="129" t="s">
        <v>25</v>
      </c>
      <c r="I20" s="147">
        <v>58</v>
      </c>
      <c r="J20" s="132">
        <f t="shared" si="2"/>
        <v>11762.46551724138</v>
      </c>
      <c r="K20" s="129"/>
      <c r="N20" s="146">
        <f t="shared" si="3"/>
        <v>68.2223</v>
      </c>
    </row>
    <row r="21" spans="1:14" ht="18" customHeight="1">
      <c r="A21" s="129" t="s">
        <v>42</v>
      </c>
      <c r="B21" s="126" t="s">
        <v>43</v>
      </c>
      <c r="C21" s="132">
        <f>SUM(C22:C24)</f>
        <v>20.4875</v>
      </c>
      <c r="D21" s="132"/>
      <c r="E21" s="132"/>
      <c r="F21" s="132"/>
      <c r="G21" s="131">
        <f aca="true" t="shared" si="4" ref="G21:G48">SUM(C21:F21)</f>
        <v>20.4875</v>
      </c>
      <c r="H21" s="129" t="s">
        <v>20</v>
      </c>
      <c r="I21" s="145">
        <f>170.9/1000</f>
        <v>0.1709</v>
      </c>
      <c r="J21" s="132">
        <f aca="true" t="shared" si="5" ref="J21:J48">G21/I21*10000</f>
        <v>1198800.468110006</v>
      </c>
      <c r="K21" s="129"/>
      <c r="M21" s="76">
        <v>345.47</v>
      </c>
      <c r="N21" s="146">
        <f t="shared" si="3"/>
        <v>-324.9825</v>
      </c>
    </row>
    <row r="22" spans="1:14" ht="18" customHeight="1">
      <c r="A22" s="129">
        <v>1</v>
      </c>
      <c r="B22" s="126" t="s">
        <v>44</v>
      </c>
      <c r="C22" s="131">
        <f>116768/10000</f>
        <v>11.6768</v>
      </c>
      <c r="D22" s="131"/>
      <c r="E22" s="131"/>
      <c r="F22" s="131"/>
      <c r="G22" s="131">
        <f t="shared" si="4"/>
        <v>11.6768</v>
      </c>
      <c r="H22" s="129" t="s">
        <v>25</v>
      </c>
      <c r="I22" s="147">
        <v>138</v>
      </c>
      <c r="J22" s="132">
        <f t="shared" si="5"/>
        <v>846.1449275362319</v>
      </c>
      <c r="K22" s="129"/>
      <c r="N22" s="146">
        <f t="shared" si="3"/>
        <v>11.6768</v>
      </c>
    </row>
    <row r="23" spans="1:14" ht="18" customHeight="1">
      <c r="A23" s="129">
        <v>2</v>
      </c>
      <c r="B23" s="126" t="s">
        <v>45</v>
      </c>
      <c r="C23" s="131">
        <f>77761/10000</f>
        <v>7.7761</v>
      </c>
      <c r="D23" s="131"/>
      <c r="E23" s="131"/>
      <c r="F23" s="131"/>
      <c r="G23" s="131">
        <f t="shared" si="4"/>
        <v>7.7761</v>
      </c>
      <c r="H23" s="129" t="s">
        <v>46</v>
      </c>
      <c r="I23" s="147">
        <v>5</v>
      </c>
      <c r="J23" s="132">
        <f t="shared" si="5"/>
        <v>15552.199999999999</v>
      </c>
      <c r="K23" s="129"/>
      <c r="N23" s="146">
        <f t="shared" si="3"/>
        <v>7.7761</v>
      </c>
    </row>
    <row r="24" spans="1:14" ht="18" customHeight="1">
      <c r="A24" s="129">
        <v>3</v>
      </c>
      <c r="B24" s="126" t="s">
        <v>47</v>
      </c>
      <c r="C24" s="131">
        <f>10346/10000</f>
        <v>1.0346</v>
      </c>
      <c r="D24" s="131"/>
      <c r="E24" s="131"/>
      <c r="F24" s="131"/>
      <c r="G24" s="131">
        <f t="shared" si="4"/>
        <v>1.0346</v>
      </c>
      <c r="H24" s="129" t="s">
        <v>46</v>
      </c>
      <c r="I24" s="147">
        <v>6</v>
      </c>
      <c r="J24" s="132">
        <f t="shared" si="5"/>
        <v>1724.3333333333333</v>
      </c>
      <c r="K24" s="129"/>
      <c r="N24" s="146">
        <f t="shared" si="3"/>
        <v>1.0346</v>
      </c>
    </row>
    <row r="25" spans="1:14" ht="18" customHeight="1">
      <c r="A25" s="129" t="s">
        <v>48</v>
      </c>
      <c r="B25" s="126" t="s">
        <v>49</v>
      </c>
      <c r="C25" s="132">
        <f>SUM(C26:C30)</f>
        <v>196.0278</v>
      </c>
      <c r="D25" s="132"/>
      <c r="E25" s="132"/>
      <c r="F25" s="132"/>
      <c r="G25" s="131">
        <f t="shared" si="4"/>
        <v>196.0278</v>
      </c>
      <c r="H25" s="129" t="s">
        <v>20</v>
      </c>
      <c r="I25" s="145">
        <f>170.9/1000</f>
        <v>0.1709</v>
      </c>
      <c r="J25" s="132">
        <f t="shared" si="5"/>
        <v>11470321.825629024</v>
      </c>
      <c r="K25" s="129"/>
      <c r="M25" s="76">
        <v>345.47</v>
      </c>
      <c r="N25" s="146">
        <f aca="true" t="shared" si="6" ref="N25:N34">G25-M25</f>
        <v>-149.4422</v>
      </c>
    </row>
    <row r="26" spans="1:14" ht="18" customHeight="1">
      <c r="A26" s="129">
        <v>1</v>
      </c>
      <c r="B26" s="126" t="s">
        <v>50</v>
      </c>
      <c r="C26" s="131">
        <f>1683288/10000</f>
        <v>168.3288</v>
      </c>
      <c r="D26" s="131"/>
      <c r="E26" s="131"/>
      <c r="F26" s="131"/>
      <c r="G26" s="131">
        <f t="shared" si="4"/>
        <v>168.3288</v>
      </c>
      <c r="H26" s="129" t="s">
        <v>25</v>
      </c>
      <c r="I26" s="147">
        <v>208</v>
      </c>
      <c r="J26" s="132">
        <f t="shared" si="5"/>
        <v>8092.7307692307695</v>
      </c>
      <c r="K26" s="129"/>
      <c r="N26" s="146">
        <f t="shared" si="6"/>
        <v>168.3288</v>
      </c>
    </row>
    <row r="27" spans="1:14" ht="18" customHeight="1">
      <c r="A27" s="129">
        <v>2</v>
      </c>
      <c r="B27" s="126" t="s">
        <v>51</v>
      </c>
      <c r="C27" s="131">
        <f>213321/10000</f>
        <v>21.3321</v>
      </c>
      <c r="D27" s="131"/>
      <c r="E27" s="131"/>
      <c r="F27" s="131"/>
      <c r="G27" s="131">
        <f t="shared" si="4"/>
        <v>21.3321</v>
      </c>
      <c r="H27" s="129" t="s">
        <v>46</v>
      </c>
      <c r="I27" s="147">
        <v>7</v>
      </c>
      <c r="J27" s="132">
        <f t="shared" si="5"/>
        <v>30474.428571428572</v>
      </c>
      <c r="K27" s="129"/>
      <c r="N27" s="146">
        <f t="shared" si="6"/>
        <v>21.3321</v>
      </c>
    </row>
    <row r="28" spans="1:14" ht="18" customHeight="1">
      <c r="A28" s="129">
        <v>3</v>
      </c>
      <c r="B28" s="126" t="s">
        <v>52</v>
      </c>
      <c r="C28" s="131">
        <f>23460/10000</f>
        <v>2.346</v>
      </c>
      <c r="D28" s="131"/>
      <c r="E28" s="131"/>
      <c r="F28" s="131"/>
      <c r="G28" s="131">
        <f t="shared" si="4"/>
        <v>2.346</v>
      </c>
      <c r="H28" s="129" t="s">
        <v>46</v>
      </c>
      <c r="I28" s="147">
        <v>11</v>
      </c>
      <c r="J28" s="132">
        <f t="shared" si="5"/>
        <v>2132.727272727273</v>
      </c>
      <c r="K28" s="129"/>
      <c r="N28" s="146">
        <f t="shared" si="6"/>
        <v>2.346</v>
      </c>
    </row>
    <row r="29" spans="1:14" ht="18" customHeight="1">
      <c r="A29" s="129">
        <v>4</v>
      </c>
      <c r="B29" s="126" t="s">
        <v>53</v>
      </c>
      <c r="C29" s="131">
        <f>29863/10000</f>
        <v>2.9863</v>
      </c>
      <c r="D29" s="131"/>
      <c r="E29" s="131"/>
      <c r="F29" s="131"/>
      <c r="G29" s="131">
        <f t="shared" si="4"/>
        <v>2.9863</v>
      </c>
      <c r="H29" s="129" t="s">
        <v>46</v>
      </c>
      <c r="I29" s="147">
        <v>1</v>
      </c>
      <c r="J29" s="132">
        <f t="shared" si="5"/>
        <v>29863</v>
      </c>
      <c r="K29" s="129"/>
      <c r="N29" s="146">
        <f t="shared" si="6"/>
        <v>2.9863</v>
      </c>
    </row>
    <row r="30" spans="1:14" ht="18" customHeight="1">
      <c r="A30" s="129">
        <v>5</v>
      </c>
      <c r="B30" s="126" t="s">
        <v>47</v>
      </c>
      <c r="C30" s="131">
        <f>10346/10000</f>
        <v>1.0346</v>
      </c>
      <c r="D30" s="131"/>
      <c r="E30" s="131"/>
      <c r="F30" s="131"/>
      <c r="G30" s="131">
        <f t="shared" si="4"/>
        <v>1.0346</v>
      </c>
      <c r="H30" s="129" t="s">
        <v>46</v>
      </c>
      <c r="I30" s="147">
        <v>6</v>
      </c>
      <c r="J30" s="132">
        <f t="shared" si="5"/>
        <v>1724.3333333333333</v>
      </c>
      <c r="K30" s="129"/>
      <c r="N30" s="146">
        <f t="shared" si="6"/>
        <v>1.0346</v>
      </c>
    </row>
    <row r="31" spans="1:14" ht="18" customHeight="1">
      <c r="A31" s="129" t="s">
        <v>54</v>
      </c>
      <c r="B31" s="126" t="s">
        <v>55</v>
      </c>
      <c r="C31" s="132">
        <f>SUM(C32:C34)</f>
        <v>140.2589</v>
      </c>
      <c r="D31" s="132"/>
      <c r="E31" s="132"/>
      <c r="F31" s="132"/>
      <c r="G31" s="131">
        <f t="shared" si="4"/>
        <v>140.2589</v>
      </c>
      <c r="H31" s="129" t="s">
        <v>20</v>
      </c>
      <c r="I31" s="145">
        <f>170.9/1000</f>
        <v>0.1709</v>
      </c>
      <c r="J31" s="132">
        <f t="shared" si="5"/>
        <v>8207074.31246343</v>
      </c>
      <c r="K31" s="129"/>
      <c r="M31" s="76">
        <v>345.47</v>
      </c>
      <c r="N31" s="146">
        <f t="shared" si="6"/>
        <v>-205.21110000000002</v>
      </c>
    </row>
    <row r="32" spans="1:14" ht="18" customHeight="1">
      <c r="A32" s="129">
        <v>1</v>
      </c>
      <c r="B32" s="126" t="s">
        <v>56</v>
      </c>
      <c r="C32" s="131">
        <f>1319702/10000</f>
        <v>131.9702</v>
      </c>
      <c r="D32" s="131"/>
      <c r="E32" s="131"/>
      <c r="F32" s="131"/>
      <c r="G32" s="131">
        <f t="shared" si="4"/>
        <v>131.9702</v>
      </c>
      <c r="H32" s="129" t="s">
        <v>25</v>
      </c>
      <c r="I32" s="147">
        <v>149</v>
      </c>
      <c r="J32" s="132">
        <f t="shared" si="5"/>
        <v>8857.060402684565</v>
      </c>
      <c r="K32" s="129"/>
      <c r="N32" s="146">
        <f t="shared" si="6"/>
        <v>131.9702</v>
      </c>
    </row>
    <row r="33" spans="1:14" ht="18" customHeight="1">
      <c r="A33" s="129">
        <v>2</v>
      </c>
      <c r="B33" s="126" t="s">
        <v>57</v>
      </c>
      <c r="C33" s="131">
        <f>74265/10000</f>
        <v>7.4265</v>
      </c>
      <c r="D33" s="131"/>
      <c r="E33" s="131"/>
      <c r="F33" s="131"/>
      <c r="G33" s="131">
        <f t="shared" si="4"/>
        <v>7.4265</v>
      </c>
      <c r="H33" s="129" t="s">
        <v>46</v>
      </c>
      <c r="I33" s="147">
        <v>7</v>
      </c>
      <c r="J33" s="132">
        <f t="shared" si="5"/>
        <v>10609.285714285714</v>
      </c>
      <c r="K33" s="129"/>
      <c r="N33" s="146">
        <f t="shared" si="6"/>
        <v>7.4265</v>
      </c>
    </row>
    <row r="34" spans="1:14" ht="18" customHeight="1">
      <c r="A34" s="129">
        <v>3</v>
      </c>
      <c r="B34" s="126" t="s">
        <v>47</v>
      </c>
      <c r="C34" s="131">
        <f>8622/10000</f>
        <v>0.8622</v>
      </c>
      <c r="D34" s="131"/>
      <c r="E34" s="131"/>
      <c r="F34" s="131"/>
      <c r="G34" s="131">
        <f t="shared" si="4"/>
        <v>0.8622</v>
      </c>
      <c r="H34" s="129" t="s">
        <v>46</v>
      </c>
      <c r="I34" s="147">
        <v>5</v>
      </c>
      <c r="J34" s="132">
        <f t="shared" si="5"/>
        <v>1724.3999999999999</v>
      </c>
      <c r="K34" s="129"/>
      <c r="N34" s="146">
        <f t="shared" si="6"/>
        <v>0.8622</v>
      </c>
    </row>
    <row r="35" spans="1:14" ht="18" customHeight="1">
      <c r="A35" s="129" t="s">
        <v>58</v>
      </c>
      <c r="B35" s="126" t="s">
        <v>59</v>
      </c>
      <c r="C35" s="132">
        <f>SUM(C36:C37)</f>
        <v>71.4138</v>
      </c>
      <c r="D35" s="132"/>
      <c r="E35" s="132"/>
      <c r="F35" s="132"/>
      <c r="G35" s="131">
        <f t="shared" si="4"/>
        <v>71.4138</v>
      </c>
      <c r="H35" s="129" t="s">
        <v>20</v>
      </c>
      <c r="I35" s="145">
        <f>170.9/1000</f>
        <v>0.1709</v>
      </c>
      <c r="J35" s="132">
        <f t="shared" si="5"/>
        <v>4178689.2919836156</v>
      </c>
      <c r="K35" s="129"/>
      <c r="M35" s="76">
        <v>345.47</v>
      </c>
      <c r="N35" s="146">
        <f aca="true" t="shared" si="7" ref="N35:N48">G35-M35</f>
        <v>-274.05620000000005</v>
      </c>
    </row>
    <row r="36" spans="1:14" ht="18" customHeight="1">
      <c r="A36" s="129">
        <v>1</v>
      </c>
      <c r="B36" s="126" t="s">
        <v>60</v>
      </c>
      <c r="C36" s="131">
        <f>469974/10000</f>
        <v>46.9974</v>
      </c>
      <c r="D36" s="131"/>
      <c r="E36" s="131"/>
      <c r="F36" s="131"/>
      <c r="G36" s="131">
        <f t="shared" si="4"/>
        <v>46.9974</v>
      </c>
      <c r="H36" s="129" t="s">
        <v>25</v>
      </c>
      <c r="I36" s="147">
        <f>90*7+17*7+108*7+33*2</f>
        <v>1571</v>
      </c>
      <c r="J36" s="132">
        <f t="shared" si="5"/>
        <v>299.15595162317</v>
      </c>
      <c r="K36" s="129"/>
      <c r="N36" s="146">
        <f t="shared" si="7"/>
        <v>46.9974</v>
      </c>
    </row>
    <row r="37" spans="1:14" ht="18" customHeight="1">
      <c r="A37" s="129">
        <v>2</v>
      </c>
      <c r="B37" s="126" t="s">
        <v>61</v>
      </c>
      <c r="C37" s="131">
        <f>244164/10000</f>
        <v>24.4164</v>
      </c>
      <c r="D37" s="131"/>
      <c r="E37" s="131"/>
      <c r="F37" s="131"/>
      <c r="G37" s="131">
        <f t="shared" si="4"/>
        <v>24.4164</v>
      </c>
      <c r="H37" s="129" t="s">
        <v>46</v>
      </c>
      <c r="I37" s="147">
        <v>6</v>
      </c>
      <c r="J37" s="132">
        <f t="shared" si="5"/>
        <v>40694</v>
      </c>
      <c r="K37" s="129"/>
      <c r="N37" s="146">
        <f t="shared" si="7"/>
        <v>24.4164</v>
      </c>
    </row>
    <row r="38" spans="1:14" ht="18" customHeight="1">
      <c r="A38" s="129" t="s">
        <v>62</v>
      </c>
      <c r="B38" s="126" t="s">
        <v>63</v>
      </c>
      <c r="C38" s="132">
        <f>SUM(C39:C40)</f>
        <v>31.919</v>
      </c>
      <c r="D38" s="132"/>
      <c r="E38" s="132"/>
      <c r="F38" s="132"/>
      <c r="G38" s="131">
        <f t="shared" si="4"/>
        <v>31.919</v>
      </c>
      <c r="H38" s="129" t="s">
        <v>20</v>
      </c>
      <c r="I38" s="145">
        <f>170.9/1000</f>
        <v>0.1709</v>
      </c>
      <c r="J38" s="132">
        <f t="shared" si="5"/>
        <v>1867700.4095962553</v>
      </c>
      <c r="K38" s="129"/>
      <c r="M38" s="76">
        <v>345.47</v>
      </c>
      <c r="N38" s="146">
        <f t="shared" si="7"/>
        <v>-313.55100000000004</v>
      </c>
    </row>
    <row r="39" spans="1:14" ht="18" customHeight="1">
      <c r="A39" s="129">
        <v>1</v>
      </c>
      <c r="B39" s="126" t="s">
        <v>64</v>
      </c>
      <c r="C39" s="131">
        <f>255788/10000</f>
        <v>25.5788</v>
      </c>
      <c r="D39" s="131"/>
      <c r="E39" s="131"/>
      <c r="F39" s="131"/>
      <c r="G39" s="131">
        <f t="shared" si="4"/>
        <v>25.5788</v>
      </c>
      <c r="H39" s="129" t="s">
        <v>25</v>
      </c>
      <c r="I39" s="147">
        <f>42*2+30*4+18*6+6*7+185*12</f>
        <v>2574</v>
      </c>
      <c r="J39" s="132">
        <f t="shared" si="5"/>
        <v>99.37373737373738</v>
      </c>
      <c r="K39" s="129"/>
      <c r="N39" s="146">
        <f t="shared" si="7"/>
        <v>25.5788</v>
      </c>
    </row>
    <row r="40" spans="1:14" ht="18" customHeight="1">
      <c r="A40" s="129">
        <v>2</v>
      </c>
      <c r="B40" s="126" t="s">
        <v>65</v>
      </c>
      <c r="C40" s="131">
        <f>63402/10000</f>
        <v>6.3402</v>
      </c>
      <c r="D40" s="131"/>
      <c r="E40" s="131"/>
      <c r="F40" s="131"/>
      <c r="G40" s="131">
        <f t="shared" si="4"/>
        <v>6.3402</v>
      </c>
      <c r="H40" s="129" t="s">
        <v>46</v>
      </c>
      <c r="I40" s="147">
        <v>8</v>
      </c>
      <c r="J40" s="132">
        <f t="shared" si="5"/>
        <v>7925.25</v>
      </c>
      <c r="K40" s="129"/>
      <c r="N40" s="146">
        <f t="shared" si="7"/>
        <v>6.3402</v>
      </c>
    </row>
    <row r="41" spans="1:14" ht="18" customHeight="1">
      <c r="A41" s="129" t="s">
        <v>66</v>
      </c>
      <c r="B41" s="126" t="s">
        <v>67</v>
      </c>
      <c r="C41" s="132">
        <f>SUM(C42:C43)</f>
        <v>27.438200000000002</v>
      </c>
      <c r="D41" s="132"/>
      <c r="E41" s="132"/>
      <c r="F41" s="132"/>
      <c r="G41" s="131">
        <f t="shared" si="4"/>
        <v>27.438200000000002</v>
      </c>
      <c r="H41" s="129" t="s">
        <v>20</v>
      </c>
      <c r="I41" s="145">
        <f>170.9/1000</f>
        <v>0.1709</v>
      </c>
      <c r="J41" s="132">
        <f t="shared" si="5"/>
        <v>1605511.9953189</v>
      </c>
      <c r="K41" s="129"/>
      <c r="M41" s="76">
        <v>345.47</v>
      </c>
      <c r="N41" s="146">
        <f t="shared" si="7"/>
        <v>-318.03180000000003</v>
      </c>
    </row>
    <row r="42" spans="1:14" ht="18" customHeight="1">
      <c r="A42" s="129">
        <v>1</v>
      </c>
      <c r="B42" s="126" t="s">
        <v>67</v>
      </c>
      <c r="C42" s="131">
        <f>145767/10000</f>
        <v>14.5767</v>
      </c>
      <c r="D42" s="131"/>
      <c r="E42" s="131"/>
      <c r="F42" s="131"/>
      <c r="G42" s="131">
        <f t="shared" si="4"/>
        <v>14.5767</v>
      </c>
      <c r="H42" s="129" t="s">
        <v>46</v>
      </c>
      <c r="I42" s="147">
        <v>11</v>
      </c>
      <c r="J42" s="132">
        <f t="shared" si="5"/>
        <v>13251.545454545454</v>
      </c>
      <c r="K42" s="129"/>
      <c r="N42" s="146">
        <f t="shared" si="7"/>
        <v>14.5767</v>
      </c>
    </row>
    <row r="43" spans="1:14" ht="18" customHeight="1">
      <c r="A43" s="129">
        <v>2</v>
      </c>
      <c r="B43" s="126" t="s">
        <v>68</v>
      </c>
      <c r="C43" s="131">
        <f>128615/10000</f>
        <v>12.8615</v>
      </c>
      <c r="D43" s="131"/>
      <c r="E43" s="131"/>
      <c r="F43" s="131"/>
      <c r="G43" s="131">
        <f t="shared" si="4"/>
        <v>12.8615</v>
      </c>
      <c r="H43" s="129" t="s">
        <v>28</v>
      </c>
      <c r="I43" s="147">
        <v>1</v>
      </c>
      <c r="J43" s="132">
        <f t="shared" si="5"/>
        <v>128615</v>
      </c>
      <c r="K43" s="129"/>
      <c r="N43" s="146">
        <f t="shared" si="7"/>
        <v>12.8615</v>
      </c>
    </row>
    <row r="44" spans="1:14" ht="18" customHeight="1">
      <c r="A44" s="129" t="s">
        <v>69</v>
      </c>
      <c r="B44" s="126" t="s">
        <v>70</v>
      </c>
      <c r="C44" s="132">
        <f>SUM(C45:C48)</f>
        <v>20.4758</v>
      </c>
      <c r="D44" s="132"/>
      <c r="E44" s="132"/>
      <c r="F44" s="132"/>
      <c r="G44" s="131">
        <f t="shared" si="4"/>
        <v>20.4758</v>
      </c>
      <c r="H44" s="129" t="s">
        <v>20</v>
      </c>
      <c r="I44" s="145">
        <f>170.9/1000</f>
        <v>0.1709</v>
      </c>
      <c r="J44" s="132">
        <f t="shared" si="5"/>
        <v>1198115.8572264481</v>
      </c>
      <c r="K44" s="129"/>
      <c r="M44" s="76">
        <v>345.47</v>
      </c>
      <c r="N44" s="146">
        <f t="shared" si="7"/>
        <v>-324.99420000000003</v>
      </c>
    </row>
    <row r="45" spans="1:14" ht="18" customHeight="1">
      <c r="A45" s="129">
        <v>1</v>
      </c>
      <c r="B45" s="126" t="s">
        <v>71</v>
      </c>
      <c r="C45" s="131">
        <f>10451/10000</f>
        <v>1.0451</v>
      </c>
      <c r="D45" s="131"/>
      <c r="E45" s="131"/>
      <c r="F45" s="131"/>
      <c r="G45" s="131">
        <f t="shared" si="4"/>
        <v>1.0451</v>
      </c>
      <c r="H45" s="129" t="s">
        <v>72</v>
      </c>
      <c r="I45" s="147">
        <v>8</v>
      </c>
      <c r="J45" s="132">
        <f t="shared" si="5"/>
        <v>1306.375</v>
      </c>
      <c r="K45" s="129"/>
      <c r="N45" s="146">
        <f t="shared" si="7"/>
        <v>1.0451</v>
      </c>
    </row>
    <row r="46" spans="1:14" ht="18" customHeight="1">
      <c r="A46" s="129">
        <v>2</v>
      </c>
      <c r="B46" s="126" t="s">
        <v>73</v>
      </c>
      <c r="C46" s="131">
        <f>12378/10000</f>
        <v>1.2378</v>
      </c>
      <c r="D46" s="131"/>
      <c r="E46" s="131"/>
      <c r="F46" s="131"/>
      <c r="G46" s="131">
        <f t="shared" si="4"/>
        <v>1.2378</v>
      </c>
      <c r="H46" s="129" t="s">
        <v>72</v>
      </c>
      <c r="I46" s="147">
        <v>49</v>
      </c>
      <c r="J46" s="132">
        <f t="shared" si="5"/>
        <v>252.6122448979592</v>
      </c>
      <c r="K46" s="129"/>
      <c r="N46" s="146">
        <f t="shared" si="7"/>
        <v>1.2378</v>
      </c>
    </row>
    <row r="47" spans="1:14" ht="18" customHeight="1">
      <c r="A47" s="129">
        <v>3</v>
      </c>
      <c r="B47" s="126" t="s">
        <v>74</v>
      </c>
      <c r="C47" s="131">
        <f>92054/10000</f>
        <v>9.2054</v>
      </c>
      <c r="D47" s="131"/>
      <c r="E47" s="131"/>
      <c r="F47" s="131"/>
      <c r="G47" s="131">
        <f t="shared" si="4"/>
        <v>9.2054</v>
      </c>
      <c r="H47" s="129" t="s">
        <v>22</v>
      </c>
      <c r="I47" s="147">
        <v>1156</v>
      </c>
      <c r="J47" s="132">
        <f t="shared" si="5"/>
        <v>79.63148788927334</v>
      </c>
      <c r="K47" s="129"/>
      <c r="N47" s="146">
        <f t="shared" si="7"/>
        <v>9.2054</v>
      </c>
    </row>
    <row r="48" spans="1:14" ht="18" customHeight="1">
      <c r="A48" s="129">
        <v>4</v>
      </c>
      <c r="B48" s="126" t="s">
        <v>75</v>
      </c>
      <c r="C48" s="131">
        <f>89875/10000</f>
        <v>8.9875</v>
      </c>
      <c r="D48" s="131"/>
      <c r="E48" s="131"/>
      <c r="F48" s="131"/>
      <c r="G48" s="131">
        <f t="shared" si="4"/>
        <v>8.9875</v>
      </c>
      <c r="H48" s="129" t="s">
        <v>22</v>
      </c>
      <c r="I48" s="147">
        <v>126</v>
      </c>
      <c r="J48" s="132">
        <f t="shared" si="5"/>
        <v>713.2936507936508</v>
      </c>
      <c r="K48" s="129"/>
      <c r="N48" s="146">
        <f t="shared" si="7"/>
        <v>8.9875</v>
      </c>
    </row>
    <row r="49" spans="1:17" s="113" customFormat="1" ht="18" customHeight="1">
      <c r="A49" s="133"/>
      <c r="B49" s="134" t="s">
        <v>76</v>
      </c>
      <c r="C49" s="135">
        <f>C6+C14+C18+C21+C25+C31+C35+C38+C41+C44</f>
        <v>3487.7287999999994</v>
      </c>
      <c r="D49" s="135">
        <f>D6+D14+D18+D21+D25+D31+D35+D38+D41+D44</f>
        <v>8.5</v>
      </c>
      <c r="E49" s="135">
        <f>E6+E14+E18+E21+E25+E31+E35+E38+E41+E44</f>
        <v>42.5</v>
      </c>
      <c r="F49" s="135">
        <f>F6+F14+F18+F21+F25+F31+F35+F38+F41+F44</f>
        <v>0</v>
      </c>
      <c r="G49" s="135">
        <f>G6+G14+G18+G21+G25+G31+G35+G38+G41+G44</f>
        <v>3538.7287999999994</v>
      </c>
      <c r="H49" s="136" t="s">
        <v>20</v>
      </c>
      <c r="I49" s="148">
        <f>170.9/1000</f>
        <v>0.1709</v>
      </c>
      <c r="J49" s="149">
        <f>工程费用/I49*10000</f>
        <v>207064294.90930364</v>
      </c>
      <c r="K49" s="136"/>
      <c r="M49" s="150"/>
      <c r="N49" s="150"/>
      <c r="O49" s="150"/>
      <c r="P49" s="151"/>
      <c r="Q49" s="113">
        <f>工程费用</f>
        <v>3538.7287999999994</v>
      </c>
    </row>
    <row r="50" spans="1:16" ht="18" customHeight="1">
      <c r="A50" s="129" t="s">
        <v>77</v>
      </c>
      <c r="B50" s="126" t="s">
        <v>78</v>
      </c>
      <c r="C50" s="131"/>
      <c r="D50" s="131"/>
      <c r="E50" s="131"/>
      <c r="F50" s="131"/>
      <c r="G50" s="131"/>
      <c r="H50" s="129"/>
      <c r="I50" s="152"/>
      <c r="J50" s="129"/>
      <c r="K50" s="129"/>
      <c r="M50" s="153"/>
      <c r="N50" s="153"/>
      <c r="O50" s="153"/>
      <c r="P50" s="153"/>
    </row>
    <row r="51" spans="1:18" ht="18" customHeight="1" outlineLevel="1">
      <c r="A51" s="129">
        <v>1</v>
      </c>
      <c r="B51" s="137" t="s">
        <v>79</v>
      </c>
      <c r="C51" s="131"/>
      <c r="D51" s="131"/>
      <c r="E51" s="131"/>
      <c r="F51" s="131">
        <f>SUM(F52:F61)</f>
        <v>773.4</v>
      </c>
      <c r="G51" s="131">
        <f>SUM(G52:G61)</f>
        <v>773.4</v>
      </c>
      <c r="H51" s="129"/>
      <c r="I51" s="152"/>
      <c r="J51" s="154"/>
      <c r="K51" s="129"/>
      <c r="M51" s="155"/>
      <c r="N51" s="153"/>
      <c r="O51" s="153"/>
      <c r="P51" s="153"/>
      <c r="R51" s="163"/>
    </row>
    <row r="52" spans="1:18" ht="18" customHeight="1" hidden="1" outlineLevel="1">
      <c r="A52" s="129"/>
      <c r="B52" s="137" t="s">
        <v>80</v>
      </c>
      <c r="C52" s="131"/>
      <c r="D52" s="131"/>
      <c r="E52" s="131"/>
      <c r="F52" s="131">
        <f aca="true" t="shared" si="8" ref="F52:F61">G52</f>
        <v>0</v>
      </c>
      <c r="G52" s="131">
        <f aca="true" t="shared" si="9" ref="G52:G57">I52*J52/10000</f>
        <v>0</v>
      </c>
      <c r="H52" s="129" t="s">
        <v>81</v>
      </c>
      <c r="I52" s="156"/>
      <c r="J52" s="132">
        <v>79584</v>
      </c>
      <c r="K52" s="129"/>
      <c r="M52" s="157"/>
      <c r="N52" s="153"/>
      <c r="O52" s="153"/>
      <c r="P52" s="158"/>
      <c r="Q52" s="158"/>
      <c r="R52" s="163"/>
    </row>
    <row r="53" spans="1:18" s="15" customFormat="1" ht="18" customHeight="1" hidden="1" outlineLevel="1">
      <c r="A53" s="138"/>
      <c r="B53" s="139" t="s">
        <v>82</v>
      </c>
      <c r="C53" s="140"/>
      <c r="D53" s="140"/>
      <c r="E53" s="140"/>
      <c r="F53" s="140">
        <f t="shared" si="8"/>
        <v>0</v>
      </c>
      <c r="G53" s="140">
        <f t="shared" si="9"/>
        <v>0</v>
      </c>
      <c r="H53" s="138" t="s">
        <v>81</v>
      </c>
      <c r="I53" s="159"/>
      <c r="J53" s="132">
        <v>30000</v>
      </c>
      <c r="K53" s="138"/>
      <c r="M53" s="160"/>
      <c r="P53" s="161"/>
      <c r="Q53" s="161"/>
      <c r="R53" s="164"/>
    </row>
    <row r="54" spans="1:18" ht="18" customHeight="1" outlineLevel="1">
      <c r="A54" s="129"/>
      <c r="B54" s="137" t="s">
        <v>83</v>
      </c>
      <c r="C54" s="131"/>
      <c r="D54" s="131"/>
      <c r="E54" s="131"/>
      <c r="F54" s="131">
        <f t="shared" si="8"/>
        <v>432.5</v>
      </c>
      <c r="G54" s="131">
        <f t="shared" si="9"/>
        <v>432.5</v>
      </c>
      <c r="H54" s="129" t="s">
        <v>22</v>
      </c>
      <c r="I54" s="152">
        <f>4313+12</f>
        <v>4325</v>
      </c>
      <c r="J54" s="132">
        <v>1000</v>
      </c>
      <c r="K54" s="129"/>
      <c r="M54" s="157"/>
      <c r="N54" s="153"/>
      <c r="O54" s="153"/>
      <c r="P54" s="158"/>
      <c r="Q54" s="158"/>
      <c r="R54" s="76">
        <f>P54*Q54/10000</f>
        <v>0</v>
      </c>
    </row>
    <row r="55" spans="1:17" ht="18" customHeight="1" outlineLevel="1">
      <c r="A55" s="129"/>
      <c r="B55" s="141" t="s">
        <v>84</v>
      </c>
      <c r="C55" s="131"/>
      <c r="D55" s="131"/>
      <c r="E55" s="131"/>
      <c r="F55" s="131">
        <f t="shared" si="8"/>
        <v>140.9</v>
      </c>
      <c r="G55" s="131">
        <f t="shared" si="9"/>
        <v>140.9</v>
      </c>
      <c r="H55" s="129" t="s">
        <v>28</v>
      </c>
      <c r="I55" s="147">
        <v>1</v>
      </c>
      <c r="J55" s="132">
        <v>1409000</v>
      </c>
      <c r="K55" s="129"/>
      <c r="M55" s="157"/>
      <c r="N55" s="153"/>
      <c r="O55" s="153"/>
      <c r="P55" s="158"/>
      <c r="Q55" s="158"/>
    </row>
    <row r="56" spans="1:18" ht="18" customHeight="1" outlineLevel="1">
      <c r="A56" s="60"/>
      <c r="B56" s="142" t="s">
        <v>85</v>
      </c>
      <c r="C56" s="66"/>
      <c r="D56" s="66"/>
      <c r="E56" s="66"/>
      <c r="F56" s="66">
        <f t="shared" si="8"/>
        <v>189.5</v>
      </c>
      <c r="G56" s="131">
        <f t="shared" si="9"/>
        <v>189.5</v>
      </c>
      <c r="H56" s="129" t="s">
        <v>28</v>
      </c>
      <c r="I56" s="147">
        <v>1</v>
      </c>
      <c r="J56" s="132">
        <v>1895000</v>
      </c>
      <c r="K56" s="129"/>
      <c r="M56" s="157"/>
      <c r="N56" s="153"/>
      <c r="O56" s="153"/>
      <c r="P56" s="158"/>
      <c r="Q56" s="158"/>
      <c r="R56" s="163"/>
    </row>
    <row r="57" spans="1:18" ht="18" customHeight="1" outlineLevel="1">
      <c r="A57" s="60"/>
      <c r="B57" s="142" t="s">
        <v>86</v>
      </c>
      <c r="C57" s="66"/>
      <c r="D57" s="66"/>
      <c r="E57" s="66"/>
      <c r="F57" s="66">
        <f t="shared" si="8"/>
        <v>10.5</v>
      </c>
      <c r="G57" s="131">
        <f t="shared" si="9"/>
        <v>10.5</v>
      </c>
      <c r="H57" s="129" t="s">
        <v>28</v>
      </c>
      <c r="I57" s="147">
        <v>1</v>
      </c>
      <c r="J57" s="132">
        <v>105000</v>
      </c>
      <c r="K57" s="129"/>
      <c r="M57" s="157"/>
      <c r="N57" s="153"/>
      <c r="O57" s="153"/>
      <c r="P57" s="158"/>
      <c r="Q57" s="158"/>
      <c r="R57" s="163"/>
    </row>
    <row r="58" spans="1:18" ht="18" customHeight="1" hidden="1" outlineLevel="1">
      <c r="A58" s="60"/>
      <c r="B58" s="142" t="s">
        <v>87</v>
      </c>
      <c r="C58" s="66"/>
      <c r="D58" s="66"/>
      <c r="E58" s="66"/>
      <c r="F58" s="66">
        <f t="shared" si="8"/>
        <v>0</v>
      </c>
      <c r="G58" s="131">
        <f>I58*J58*0.0001</f>
        <v>0</v>
      </c>
      <c r="H58" s="60" t="s">
        <v>46</v>
      </c>
      <c r="I58" s="152"/>
      <c r="J58" s="132">
        <v>5000</v>
      </c>
      <c r="K58" s="129"/>
      <c r="M58" s="157"/>
      <c r="N58" s="153"/>
      <c r="O58" s="153"/>
      <c r="P58" s="158"/>
      <c r="Q58" s="158"/>
      <c r="R58" s="163"/>
    </row>
    <row r="59" spans="1:18" ht="18" customHeight="1" hidden="1" outlineLevel="1">
      <c r="A59" s="60"/>
      <c r="B59" s="142" t="s">
        <v>88</v>
      </c>
      <c r="C59" s="66"/>
      <c r="D59" s="66"/>
      <c r="E59" s="66"/>
      <c r="F59" s="66">
        <f t="shared" si="8"/>
        <v>0</v>
      </c>
      <c r="G59" s="131">
        <f>I59*J59*0.0001</f>
        <v>0</v>
      </c>
      <c r="H59" s="60" t="s">
        <v>25</v>
      </c>
      <c r="I59" s="152"/>
      <c r="J59" s="132">
        <v>3000</v>
      </c>
      <c r="K59" s="129"/>
      <c r="M59" s="157"/>
      <c r="N59" s="153"/>
      <c r="O59" s="153"/>
      <c r="P59" s="158"/>
      <c r="Q59" s="158"/>
      <c r="R59" s="163"/>
    </row>
    <row r="60" spans="1:18" ht="18" customHeight="1" hidden="1" outlineLevel="1">
      <c r="A60" s="60"/>
      <c r="B60" s="142" t="s">
        <v>89</v>
      </c>
      <c r="C60" s="66"/>
      <c r="D60" s="66"/>
      <c r="E60" s="66"/>
      <c r="F60" s="66">
        <f t="shared" si="8"/>
        <v>0</v>
      </c>
      <c r="G60" s="131">
        <f>I60*J60*0.0001</f>
        <v>0</v>
      </c>
      <c r="H60" s="60" t="s">
        <v>25</v>
      </c>
      <c r="I60" s="152"/>
      <c r="J60" s="132">
        <v>1000</v>
      </c>
      <c r="K60" s="129"/>
      <c r="M60" s="157"/>
      <c r="N60" s="153"/>
      <c r="O60" s="153"/>
      <c r="P60" s="158"/>
      <c r="Q60" s="158"/>
      <c r="R60" s="163"/>
    </row>
    <row r="61" spans="1:18" ht="18" customHeight="1" hidden="1" outlineLevel="1">
      <c r="A61" s="60"/>
      <c r="B61" s="142" t="s">
        <v>86</v>
      </c>
      <c r="C61" s="66"/>
      <c r="D61" s="66"/>
      <c r="E61" s="66"/>
      <c r="F61" s="66">
        <f t="shared" si="8"/>
        <v>0</v>
      </c>
      <c r="G61" s="131">
        <f>I61*J61*0.0001</f>
        <v>0</v>
      </c>
      <c r="H61" s="129" t="s">
        <v>28</v>
      </c>
      <c r="I61" s="147"/>
      <c r="J61" s="132">
        <v>104964.44</v>
      </c>
      <c r="K61" s="129"/>
      <c r="M61" s="157"/>
      <c r="N61" s="153"/>
      <c r="O61" s="153"/>
      <c r="P61" s="158"/>
      <c r="Q61" s="158"/>
      <c r="R61" s="163"/>
    </row>
    <row r="62" spans="1:16" ht="18" customHeight="1" outlineLevel="1">
      <c r="A62" s="129">
        <v>2</v>
      </c>
      <c r="B62" s="137" t="s">
        <v>90</v>
      </c>
      <c r="C62" s="143"/>
      <c r="D62" s="131"/>
      <c r="E62" s="143"/>
      <c r="F62" s="131">
        <f>建设单位管理费</f>
        <v>64.12475</v>
      </c>
      <c r="G62" s="131">
        <f>20+(Q99-1000)*1.5%</f>
        <v>64.12475</v>
      </c>
      <c r="H62" s="129"/>
      <c r="I62" s="152"/>
      <c r="J62" s="129"/>
      <c r="K62" s="129"/>
      <c r="M62" s="153"/>
      <c r="N62" s="153"/>
      <c r="O62" s="153"/>
      <c r="P62" s="153"/>
    </row>
    <row r="63" spans="1:15" ht="18" customHeight="1" outlineLevel="1">
      <c r="A63" s="129">
        <v>3</v>
      </c>
      <c r="B63" s="137" t="s">
        <v>91</v>
      </c>
      <c r="C63" s="143"/>
      <c r="D63" s="131"/>
      <c r="E63" s="143"/>
      <c r="F63" s="131">
        <f>G63</f>
        <v>72.82359295999998</v>
      </c>
      <c r="G63" s="131">
        <f>((78.1-30.1)/2000*(工程费用-1000)+30.1)*0.8</f>
        <v>72.82359295999998</v>
      </c>
      <c r="H63" s="129"/>
      <c r="I63" s="152"/>
      <c r="J63" s="129"/>
      <c r="K63" s="129"/>
      <c r="N63" s="76">
        <f>25484162/10000</f>
        <v>2548.4162</v>
      </c>
      <c r="O63" s="76">
        <f>N63-工程费用</f>
        <v>-990.3125999999993</v>
      </c>
    </row>
    <row r="64" spans="1:11" ht="18" customHeight="1" hidden="1" outlineLevel="1">
      <c r="A64" s="129">
        <v>4</v>
      </c>
      <c r="B64" s="137" t="s">
        <v>92</v>
      </c>
      <c r="C64" s="143"/>
      <c r="D64" s="131"/>
      <c r="E64" s="143"/>
      <c r="F64" s="131">
        <f aca="true" t="shared" si="10" ref="F64:F96">G64</f>
        <v>0</v>
      </c>
      <c r="G64" s="131">
        <v>0</v>
      </c>
      <c r="H64" s="129"/>
      <c r="I64" s="152"/>
      <c r="J64" s="129"/>
      <c r="K64" s="129"/>
    </row>
    <row r="65" spans="1:11" ht="18" customHeight="1" outlineLevel="1">
      <c r="A65" s="129">
        <v>4</v>
      </c>
      <c r="B65" s="137" t="s">
        <v>93</v>
      </c>
      <c r="C65" s="143"/>
      <c r="D65" s="131"/>
      <c r="E65" s="143"/>
      <c r="F65" s="131">
        <f t="shared" si="10"/>
        <v>21.940118559999995</v>
      </c>
      <c r="G65" s="131">
        <f>工程费用*1.24%*0.5</f>
        <v>21.940118559999995</v>
      </c>
      <c r="H65" s="129"/>
      <c r="I65" s="152"/>
      <c r="J65" s="129"/>
      <c r="K65" s="129"/>
    </row>
    <row r="66" spans="1:11" ht="18" customHeight="1" outlineLevel="1">
      <c r="A66" s="129">
        <v>5</v>
      </c>
      <c r="B66" s="137" t="s">
        <v>94</v>
      </c>
      <c r="C66" s="143"/>
      <c r="D66" s="131"/>
      <c r="E66" s="131"/>
      <c r="F66" s="131">
        <f t="shared" si="10"/>
        <v>16.542244031999996</v>
      </c>
      <c r="G66" s="131">
        <f>((60-27)/7000*(工程费用-3000)+27)*0.7*0.8</f>
        <v>16.542244031999996</v>
      </c>
      <c r="H66" s="129"/>
      <c r="I66" s="152"/>
      <c r="J66" s="129"/>
      <c r="K66" s="129"/>
    </row>
    <row r="67" spans="1:11" ht="18" customHeight="1" hidden="1" outlineLevel="1">
      <c r="A67" s="129">
        <v>6</v>
      </c>
      <c r="B67" s="137" t="s">
        <v>95</v>
      </c>
      <c r="C67" s="143"/>
      <c r="D67" s="131"/>
      <c r="E67" s="131"/>
      <c r="F67" s="131">
        <f t="shared" si="10"/>
        <v>0</v>
      </c>
      <c r="G67" s="131">
        <v>0</v>
      </c>
      <c r="H67" s="129"/>
      <c r="I67" s="152"/>
      <c r="J67" s="129"/>
      <c r="K67" s="129"/>
    </row>
    <row r="68" spans="1:11" ht="18" customHeight="1" outlineLevel="1">
      <c r="A68" s="129">
        <v>6</v>
      </c>
      <c r="B68" s="137" t="s">
        <v>96</v>
      </c>
      <c r="C68" s="143"/>
      <c r="D68" s="131"/>
      <c r="E68" s="143"/>
      <c r="F68" s="131">
        <f t="shared" si="10"/>
        <v>22.647864319999996</v>
      </c>
      <c r="G68" s="131">
        <f>工程费用*0.8%*0.8</f>
        <v>22.647864319999996</v>
      </c>
      <c r="H68" s="129"/>
      <c r="I68" s="152"/>
      <c r="J68" s="129"/>
      <c r="K68" s="129"/>
    </row>
    <row r="69" spans="1:11" ht="18" customHeight="1" outlineLevel="1">
      <c r="A69" s="129">
        <v>7</v>
      </c>
      <c r="B69" s="137" t="s">
        <v>97</v>
      </c>
      <c r="C69" s="143"/>
      <c r="D69" s="131"/>
      <c r="E69" s="143"/>
      <c r="F69" s="131">
        <f t="shared" si="10"/>
        <v>59.99440021999999</v>
      </c>
      <c r="G69" s="131">
        <f>((163.9-103.8)/2000*(工程费用-3000)+103.8)*0.5</f>
        <v>59.99440021999999</v>
      </c>
      <c r="H69" s="129"/>
      <c r="I69" s="152"/>
      <c r="J69" s="129"/>
      <c r="K69" s="129"/>
    </row>
    <row r="70" spans="1:11" ht="18" customHeight="1" hidden="1" outlineLevel="1">
      <c r="A70" s="129">
        <v>8</v>
      </c>
      <c r="B70" s="137" t="s">
        <v>98</v>
      </c>
      <c r="C70" s="143"/>
      <c r="D70" s="131"/>
      <c r="E70" s="131"/>
      <c r="F70" s="131">
        <f t="shared" si="10"/>
        <v>0</v>
      </c>
      <c r="G70" s="131"/>
      <c r="H70" s="129"/>
      <c r="I70" s="152"/>
      <c r="J70" s="129"/>
      <c r="K70" s="129"/>
    </row>
    <row r="71" spans="1:11" ht="18" customHeight="1" hidden="1" outlineLevel="1">
      <c r="A71" s="129">
        <v>8</v>
      </c>
      <c r="B71" s="137" t="s">
        <v>99</v>
      </c>
      <c r="C71" s="143"/>
      <c r="D71" s="131"/>
      <c r="E71" s="131"/>
      <c r="F71" s="131">
        <f t="shared" si="10"/>
        <v>0</v>
      </c>
      <c r="G71" s="131"/>
      <c r="H71" s="129"/>
      <c r="I71" s="152"/>
      <c r="J71" s="129"/>
      <c r="K71" s="129"/>
    </row>
    <row r="72" spans="1:13" ht="18" customHeight="1" outlineLevel="1">
      <c r="A72" s="129">
        <v>8</v>
      </c>
      <c r="B72" s="137" t="s">
        <v>100</v>
      </c>
      <c r="C72" s="143"/>
      <c r="D72" s="131"/>
      <c r="E72" s="131"/>
      <c r="F72" s="131">
        <f t="shared" si="10"/>
        <v>6.266195407058824</v>
      </c>
      <c r="G72" s="131">
        <f>((18-7.5)/17000*(工程费用-3000)+7.5)*0.8</f>
        <v>6.266195407058824</v>
      </c>
      <c r="H72" s="129"/>
      <c r="I72" s="152"/>
      <c r="J72" s="129"/>
      <c r="K72" s="129"/>
      <c r="M72" s="131">
        <v>21.89</v>
      </c>
    </row>
    <row r="73" spans="1:13" ht="18" customHeight="1" outlineLevel="1">
      <c r="A73" s="129">
        <v>9</v>
      </c>
      <c r="B73" s="137" t="s">
        <v>101</v>
      </c>
      <c r="C73" s="165"/>
      <c r="D73" s="165"/>
      <c r="E73" s="165"/>
      <c r="F73" s="131">
        <f t="shared" si="10"/>
        <v>0.9114289999999999</v>
      </c>
      <c r="G73" s="140">
        <f>(6568.5+576+1022.935+946.855)*1/10000</f>
        <v>0.9114289999999999</v>
      </c>
      <c r="H73" s="129"/>
      <c r="I73" s="152"/>
      <c r="J73" s="129"/>
      <c r="K73" s="129"/>
      <c r="M73" s="131">
        <v>39.14</v>
      </c>
    </row>
    <row r="74" spans="1:13" ht="18" customHeight="1" outlineLevel="1">
      <c r="A74" s="129">
        <v>10</v>
      </c>
      <c r="B74" s="139" t="s">
        <v>102</v>
      </c>
      <c r="C74" s="165"/>
      <c r="D74" s="165"/>
      <c r="E74" s="165"/>
      <c r="F74" s="131">
        <f t="shared" si="10"/>
        <v>21.232372799999997</v>
      </c>
      <c r="G74" s="140">
        <f>30/5000*工程费用</f>
        <v>21.232372799999997</v>
      </c>
      <c r="H74" s="129"/>
      <c r="I74" s="152"/>
      <c r="J74" s="129"/>
      <c r="K74" s="129"/>
      <c r="M74" s="131">
        <v>0</v>
      </c>
    </row>
    <row r="75" spans="1:13" ht="18" customHeight="1" outlineLevel="1">
      <c r="A75" s="129">
        <v>11</v>
      </c>
      <c r="B75" s="137" t="s">
        <v>103</v>
      </c>
      <c r="C75" s="143"/>
      <c r="D75" s="131"/>
      <c r="E75" s="131"/>
      <c r="F75" s="131">
        <f t="shared" si="10"/>
        <v>3.5387287999999995</v>
      </c>
      <c r="G75" s="131">
        <f>工程费用*0.1%</f>
        <v>3.5387287999999995</v>
      </c>
      <c r="H75" s="129"/>
      <c r="I75" s="152"/>
      <c r="J75" s="129"/>
      <c r="K75" s="129"/>
      <c r="M75" s="131">
        <v>29.817242909999997</v>
      </c>
    </row>
    <row r="76" spans="1:13" ht="18" customHeight="1" outlineLevel="1">
      <c r="A76" s="129">
        <v>12</v>
      </c>
      <c r="B76" s="137" t="s">
        <v>104</v>
      </c>
      <c r="C76" s="143"/>
      <c r="D76" s="131"/>
      <c r="E76" s="131"/>
      <c r="F76" s="131">
        <f t="shared" si="10"/>
        <v>17.693644</v>
      </c>
      <c r="G76" s="131">
        <f>工程费用*0.5%</f>
        <v>17.693644</v>
      </c>
      <c r="H76" s="129"/>
      <c r="I76" s="152"/>
      <c r="J76" s="129"/>
      <c r="K76" s="129"/>
      <c r="M76" s="131">
        <v>596.3448582</v>
      </c>
    </row>
    <row r="77" spans="1:13" ht="18" customHeight="1" outlineLevel="1">
      <c r="A77" s="129">
        <v>13</v>
      </c>
      <c r="B77" s="137" t="s">
        <v>105</v>
      </c>
      <c r="C77" s="143"/>
      <c r="D77" s="131"/>
      <c r="E77" s="131"/>
      <c r="F77" s="131">
        <f t="shared" si="10"/>
        <v>10.616186399999998</v>
      </c>
      <c r="G77" s="131">
        <f>工程费用*0.3%</f>
        <v>10.616186399999998</v>
      </c>
      <c r="H77" s="129"/>
      <c r="I77" s="152"/>
      <c r="J77" s="129"/>
      <c r="K77" s="129"/>
      <c r="M77" s="131">
        <v>89.45172873</v>
      </c>
    </row>
    <row r="78" spans="1:13" ht="18" customHeight="1" hidden="1" outlineLevel="1">
      <c r="A78" s="129">
        <v>15</v>
      </c>
      <c r="B78" s="137" t="s">
        <v>106</v>
      </c>
      <c r="C78" s="143"/>
      <c r="D78" s="131"/>
      <c r="E78" s="131"/>
      <c r="F78" s="131">
        <f t="shared" si="10"/>
        <v>0</v>
      </c>
      <c r="G78" s="131">
        <v>0</v>
      </c>
      <c r="H78" s="129"/>
      <c r="I78" s="152"/>
      <c r="J78" s="129"/>
      <c r="K78" s="129"/>
      <c r="M78" s="131">
        <v>0</v>
      </c>
    </row>
    <row r="79" spans="1:13" ht="18" customHeight="1" hidden="1" outlineLevel="1">
      <c r="A79" s="129">
        <v>15</v>
      </c>
      <c r="B79" s="137" t="s">
        <v>107</v>
      </c>
      <c r="C79" s="143"/>
      <c r="D79" s="131"/>
      <c r="E79" s="143"/>
      <c r="F79" s="131">
        <f t="shared" si="10"/>
        <v>0</v>
      </c>
      <c r="G79" s="131">
        <v>0</v>
      </c>
      <c r="H79" s="129"/>
      <c r="I79" s="152"/>
      <c r="J79" s="129"/>
      <c r="K79" s="129"/>
      <c r="M79" s="131">
        <v>0</v>
      </c>
    </row>
    <row r="80" spans="1:13" ht="18" customHeight="1" hidden="1" outlineLevel="1">
      <c r="A80" s="129">
        <v>15</v>
      </c>
      <c r="B80" s="137" t="s">
        <v>108</v>
      </c>
      <c r="C80" s="131"/>
      <c r="D80" s="143"/>
      <c r="E80" s="131"/>
      <c r="F80" s="131">
        <f t="shared" si="10"/>
        <v>0</v>
      </c>
      <c r="G80" s="131">
        <v>0</v>
      </c>
      <c r="H80" s="129"/>
      <c r="I80" s="152"/>
      <c r="J80" s="129"/>
      <c r="K80" s="129"/>
      <c r="M80" s="131">
        <v>0</v>
      </c>
    </row>
    <row r="81" spans="1:13" ht="18" customHeight="1" hidden="1" outlineLevel="1">
      <c r="A81" s="129">
        <v>15</v>
      </c>
      <c r="B81" s="137" t="s">
        <v>109</v>
      </c>
      <c r="C81" s="131"/>
      <c r="D81" s="143"/>
      <c r="E81" s="143"/>
      <c r="F81" s="131">
        <f t="shared" si="10"/>
        <v>0</v>
      </c>
      <c r="G81" s="131">
        <v>0</v>
      </c>
      <c r="H81" s="129"/>
      <c r="I81" s="152"/>
      <c r="J81" s="129"/>
      <c r="K81" s="129"/>
      <c r="M81" s="131">
        <v>0</v>
      </c>
    </row>
    <row r="82" spans="1:13" ht="18" customHeight="1" hidden="1" outlineLevel="1">
      <c r="A82" s="129">
        <v>15</v>
      </c>
      <c r="B82" s="137" t="s">
        <v>110</v>
      </c>
      <c r="C82" s="131"/>
      <c r="D82" s="143"/>
      <c r="E82" s="143"/>
      <c r="F82" s="131">
        <f t="shared" si="10"/>
        <v>0</v>
      </c>
      <c r="G82" s="131">
        <v>0</v>
      </c>
      <c r="H82" s="129"/>
      <c r="I82" s="152"/>
      <c r="J82" s="129"/>
      <c r="K82" s="129"/>
      <c r="M82" s="131">
        <v>0</v>
      </c>
    </row>
    <row r="83" spans="1:13" ht="18" customHeight="1" outlineLevel="1">
      <c r="A83" s="129">
        <v>14</v>
      </c>
      <c r="B83" s="137" t="s">
        <v>111</v>
      </c>
      <c r="C83" s="131"/>
      <c r="D83" s="143"/>
      <c r="E83" s="143"/>
      <c r="F83" s="131">
        <f t="shared" si="10"/>
        <v>12.34844064</v>
      </c>
      <c r="G83" s="131">
        <f>(100*1%+400*0.7%+500*0.55%+(工程费用-1000)*0.35%)*0.8</f>
        <v>12.34844064</v>
      </c>
      <c r="H83" s="129"/>
      <c r="I83" s="152"/>
      <c r="J83" s="129"/>
      <c r="K83" s="129"/>
      <c r="M83" s="131">
        <v>40.458621455</v>
      </c>
    </row>
    <row r="84" spans="1:13" ht="16.5" customHeight="1" outlineLevel="1">
      <c r="A84" s="129">
        <v>15</v>
      </c>
      <c r="B84" s="137" t="s">
        <v>112</v>
      </c>
      <c r="C84" s="143"/>
      <c r="D84" s="131"/>
      <c r="E84" s="143"/>
      <c r="F84" s="131">
        <f t="shared" si="10"/>
        <v>4.1036582912</v>
      </c>
      <c r="G84" s="131">
        <f>100*0.17%+400*0.14%+500*0.11%+(工程费用-1000)*0.08%+勘察费*3.5%</f>
        <v>4.1036582912</v>
      </c>
      <c r="H84" s="129"/>
      <c r="I84" s="152"/>
      <c r="J84" s="129"/>
      <c r="K84" s="129"/>
      <c r="M84" s="131">
        <v>19.3014144513</v>
      </c>
    </row>
    <row r="85" spans="1:13" ht="16.5" customHeight="1" outlineLevel="1">
      <c r="A85" s="129">
        <v>16</v>
      </c>
      <c r="B85" s="137" t="s">
        <v>113</v>
      </c>
      <c r="C85" s="143"/>
      <c r="D85" s="131"/>
      <c r="E85" s="143"/>
      <c r="F85" s="131">
        <f t="shared" si="10"/>
        <v>0.21006471343424135</v>
      </c>
      <c r="G85" s="131">
        <f>1.77/29817.24*工程费用</f>
        <v>0.21006471343424135</v>
      </c>
      <c r="H85" s="129"/>
      <c r="I85" s="152"/>
      <c r="J85" s="129"/>
      <c r="K85" s="129"/>
      <c r="M85" s="131">
        <v>1.7729275199999999</v>
      </c>
    </row>
    <row r="86" spans="1:13" ht="16.5" customHeight="1" hidden="1" outlineLevel="1">
      <c r="A86" s="129">
        <v>18</v>
      </c>
      <c r="B86" s="137" t="s">
        <v>114</v>
      </c>
      <c r="C86" s="143"/>
      <c r="D86" s="131"/>
      <c r="E86" s="143"/>
      <c r="F86" s="131">
        <f t="shared" si="10"/>
        <v>0</v>
      </c>
      <c r="G86" s="131">
        <v>0</v>
      </c>
      <c r="H86" s="129"/>
      <c r="I86" s="152"/>
      <c r="J86" s="129"/>
      <c r="K86" s="129"/>
      <c r="M86" s="131">
        <v>0</v>
      </c>
    </row>
    <row r="87" spans="1:13" ht="16.5" customHeight="1" hidden="1" outlineLevel="1">
      <c r="A87" s="129">
        <v>18</v>
      </c>
      <c r="B87" s="137" t="s">
        <v>115</v>
      </c>
      <c r="C87" s="143"/>
      <c r="D87" s="131"/>
      <c r="E87" s="143"/>
      <c r="F87" s="131">
        <f t="shared" si="10"/>
        <v>0</v>
      </c>
      <c r="G87" s="131">
        <v>0</v>
      </c>
      <c r="H87" s="129"/>
      <c r="I87" s="152"/>
      <c r="J87" s="129"/>
      <c r="K87" s="129"/>
      <c r="M87" s="131">
        <v>0</v>
      </c>
    </row>
    <row r="88" spans="1:13" ht="16.5" customHeight="1" hidden="1" outlineLevel="1">
      <c r="A88" s="129">
        <v>18</v>
      </c>
      <c r="B88" s="137" t="s">
        <v>116</v>
      </c>
      <c r="C88" s="143"/>
      <c r="D88" s="131"/>
      <c r="E88" s="143"/>
      <c r="F88" s="131">
        <f t="shared" si="10"/>
        <v>0</v>
      </c>
      <c r="G88" s="131">
        <v>0</v>
      </c>
      <c r="H88" s="129"/>
      <c r="I88" s="152"/>
      <c r="J88" s="129"/>
      <c r="K88" s="129"/>
      <c r="M88" s="131">
        <v>0</v>
      </c>
    </row>
    <row r="89" spans="1:13" ht="16.5" customHeight="1" hidden="1" outlineLevel="1">
      <c r="A89" s="129">
        <v>18</v>
      </c>
      <c r="B89" s="137" t="s">
        <v>117</v>
      </c>
      <c r="C89" s="143"/>
      <c r="D89" s="131"/>
      <c r="E89" s="143"/>
      <c r="F89" s="131">
        <f t="shared" si="10"/>
        <v>0</v>
      </c>
      <c r="G89" s="131">
        <v>0</v>
      </c>
      <c r="H89" s="129"/>
      <c r="I89" s="152"/>
      <c r="J89" s="129"/>
      <c r="K89" s="129"/>
      <c r="M89" s="131">
        <v>0</v>
      </c>
    </row>
    <row r="90" spans="1:13" ht="16.5" customHeight="1" hidden="1" outlineLevel="1">
      <c r="A90" s="129">
        <v>17</v>
      </c>
      <c r="B90" s="137" t="s">
        <v>118</v>
      </c>
      <c r="C90" s="143"/>
      <c r="D90" s="131"/>
      <c r="E90" s="143"/>
      <c r="F90" s="131">
        <f t="shared" si="10"/>
        <v>0</v>
      </c>
      <c r="G90" s="131">
        <v>0</v>
      </c>
      <c r="H90" s="129"/>
      <c r="I90" s="152"/>
      <c r="J90" s="129"/>
      <c r="K90" s="129"/>
      <c r="M90" s="131">
        <v>25</v>
      </c>
    </row>
    <row r="91" spans="1:13" ht="16.5" customHeight="1" hidden="1" outlineLevel="1">
      <c r="A91" s="129">
        <v>19</v>
      </c>
      <c r="B91" s="137" t="s">
        <v>119</v>
      </c>
      <c r="C91" s="143"/>
      <c r="D91" s="131"/>
      <c r="E91" s="143"/>
      <c r="F91" s="131">
        <f t="shared" si="10"/>
        <v>0</v>
      </c>
      <c r="G91" s="131">
        <v>0</v>
      </c>
      <c r="H91" s="129"/>
      <c r="I91" s="152"/>
      <c r="J91" s="129"/>
      <c r="K91" s="129"/>
      <c r="M91" s="131">
        <v>16.075159199999998</v>
      </c>
    </row>
    <row r="92" spans="1:13" ht="16.5" customHeight="1" hidden="1" outlineLevel="1">
      <c r="A92" s="129">
        <v>14</v>
      </c>
      <c r="B92" s="137" t="s">
        <v>120</v>
      </c>
      <c r="C92" s="143"/>
      <c r="D92" s="131"/>
      <c r="E92" s="143"/>
      <c r="F92" s="131">
        <f t="shared" si="10"/>
        <v>0</v>
      </c>
      <c r="G92" s="131"/>
      <c r="H92" s="129"/>
      <c r="I92" s="152"/>
      <c r="J92" s="129"/>
      <c r="K92" s="129"/>
      <c r="M92" s="175"/>
    </row>
    <row r="93" spans="1:15" s="15" customFormat="1" ht="18" customHeight="1" hidden="1" outlineLevel="1">
      <c r="A93" s="138">
        <v>17</v>
      </c>
      <c r="B93" s="139" t="s">
        <v>92</v>
      </c>
      <c r="C93" s="166"/>
      <c r="D93" s="140"/>
      <c r="E93" s="166"/>
      <c r="F93" s="140">
        <f t="shared" si="10"/>
        <v>0</v>
      </c>
      <c r="G93" s="140"/>
      <c r="H93" s="138"/>
      <c r="I93" s="176"/>
      <c r="J93" s="138"/>
      <c r="K93" s="138"/>
      <c r="M93" s="177"/>
      <c r="O93" s="178"/>
    </row>
    <row r="94" spans="1:15" s="15" customFormat="1" ht="18" customHeight="1" hidden="1" outlineLevel="1">
      <c r="A94" s="138">
        <v>18</v>
      </c>
      <c r="B94" s="139" t="s">
        <v>118</v>
      </c>
      <c r="C94" s="166"/>
      <c r="D94" s="140"/>
      <c r="E94" s="166"/>
      <c r="F94" s="140">
        <f t="shared" si="10"/>
        <v>0</v>
      </c>
      <c r="G94" s="131"/>
      <c r="H94" s="138"/>
      <c r="I94" s="176"/>
      <c r="J94" s="138"/>
      <c r="K94" s="138"/>
      <c r="M94" s="177"/>
      <c r="O94" s="178"/>
    </row>
    <row r="95" spans="1:15" s="15" customFormat="1" ht="18" customHeight="1" outlineLevel="1">
      <c r="A95" s="138">
        <v>17</v>
      </c>
      <c r="B95" s="139" t="s">
        <v>121</v>
      </c>
      <c r="C95" s="166"/>
      <c r="D95" s="140"/>
      <c r="E95" s="166"/>
      <c r="F95" s="140">
        <f t="shared" si="10"/>
        <v>7.077457599999999</v>
      </c>
      <c r="G95" s="131">
        <f>工程费用*0.2%</f>
        <v>7.077457599999999</v>
      </c>
      <c r="H95" s="138"/>
      <c r="I95" s="176"/>
      <c r="J95" s="138"/>
      <c r="K95" s="138"/>
      <c r="M95" s="177"/>
      <c r="O95" s="178"/>
    </row>
    <row r="96" spans="1:15" s="15" customFormat="1" ht="18" customHeight="1" outlineLevel="1">
      <c r="A96" s="138">
        <v>18</v>
      </c>
      <c r="B96" s="139" t="s">
        <v>122</v>
      </c>
      <c r="C96" s="166"/>
      <c r="D96" s="140"/>
      <c r="E96" s="166"/>
      <c r="F96" s="140">
        <f t="shared" si="10"/>
        <v>8.26</v>
      </c>
      <c r="G96" s="131">
        <f>8.26</f>
        <v>8.26</v>
      </c>
      <c r="H96" s="138"/>
      <c r="I96" s="176"/>
      <c r="J96" s="138"/>
      <c r="K96" s="138"/>
      <c r="M96" s="177"/>
      <c r="O96" s="178"/>
    </row>
    <row r="97" spans="1:11" s="113" customFormat="1" ht="16.5" customHeight="1">
      <c r="A97" s="136"/>
      <c r="B97" s="134" t="s">
        <v>123</v>
      </c>
      <c r="C97" s="135"/>
      <c r="D97" s="135"/>
      <c r="E97" s="135"/>
      <c r="F97" s="135">
        <f>F51+建设单位管理费+F63+F65+F66+勘察费+F69+F72+F73+F74+F75+F76+F77+F83+F84+F85+F93+F95+F96</f>
        <v>1123.7311477436929</v>
      </c>
      <c r="G97" s="135">
        <f>G51+建设单位管理费+G63+G65+G66+勘察费+G69+G72+G73+G74+G75+G76+G77+G83+G84+G85+G93+G95+G96</f>
        <v>1123.7311477436929</v>
      </c>
      <c r="H97" s="136" t="s">
        <v>20</v>
      </c>
      <c r="I97" s="179">
        <f>I49</f>
        <v>0.1709</v>
      </c>
      <c r="J97" s="149">
        <f>工程建设其他费/I97*10000</f>
        <v>65753724.26820906</v>
      </c>
      <c r="K97" s="136"/>
    </row>
    <row r="98" spans="1:11" ht="16.5" customHeight="1">
      <c r="A98" s="129" t="s">
        <v>124</v>
      </c>
      <c r="B98" s="126" t="s">
        <v>125</v>
      </c>
      <c r="C98" s="131"/>
      <c r="D98" s="131"/>
      <c r="E98" s="131"/>
      <c r="F98" s="131"/>
      <c r="G98" s="131"/>
      <c r="H98" s="129"/>
      <c r="I98" s="180"/>
      <c r="J98" s="129"/>
      <c r="K98" s="129"/>
    </row>
    <row r="99" spans="1:17" ht="16.5" customHeight="1" outlineLevel="1">
      <c r="A99" s="129">
        <v>1</v>
      </c>
      <c r="B99" s="137" t="s">
        <v>126</v>
      </c>
      <c r="C99" s="143"/>
      <c r="D99" s="143"/>
      <c r="E99" s="143"/>
      <c r="F99" s="131">
        <f>G99</f>
        <v>116.67179843231077</v>
      </c>
      <c r="G99" s="131">
        <f>(工程费用+工程建设其他费-G51)*3%</f>
        <v>116.67179843231077</v>
      </c>
      <c r="H99" s="129"/>
      <c r="I99" s="180"/>
      <c r="J99" s="129"/>
      <c r="K99" s="129"/>
      <c r="Q99" s="76">
        <v>3941.65</v>
      </c>
    </row>
    <row r="100" spans="1:17" s="113" customFormat="1" ht="16.5" customHeight="1">
      <c r="A100" s="136"/>
      <c r="B100" s="134" t="s">
        <v>127</v>
      </c>
      <c r="C100" s="135"/>
      <c r="D100" s="135"/>
      <c r="E100" s="135"/>
      <c r="F100" s="135">
        <f>F99</f>
        <v>116.67179843231077</v>
      </c>
      <c r="G100" s="135">
        <f>G99</f>
        <v>116.67179843231077</v>
      </c>
      <c r="H100" s="136" t="s">
        <v>20</v>
      </c>
      <c r="I100" s="179">
        <f>I49</f>
        <v>0.1709</v>
      </c>
      <c r="J100" s="149">
        <f>预备费/I100*10000</f>
        <v>6826904.530854931</v>
      </c>
      <c r="K100" s="181"/>
      <c r="M100" s="113" t="s">
        <v>128</v>
      </c>
      <c r="Q100" s="188">
        <f>工程总投资-G51-建设单位管理费</f>
        <v>3941.6069961760027</v>
      </c>
    </row>
    <row r="101" spans="1:13" ht="16.5" customHeight="1" hidden="1" collapsed="1">
      <c r="A101" s="129" t="s">
        <v>129</v>
      </c>
      <c r="B101" s="126" t="s">
        <v>130</v>
      </c>
      <c r="C101" s="143"/>
      <c r="D101" s="143"/>
      <c r="E101" s="143"/>
      <c r="F101" s="131"/>
      <c r="G101" s="131"/>
      <c r="H101" s="129"/>
      <c r="I101" s="179"/>
      <c r="J101" s="182"/>
      <c r="K101" s="183"/>
      <c r="M101" s="172" t="e">
        <f>F54+建设用地费+F66+F68+F69+勘察费+F72+F73+F74+F75+F76+F77+F79+F80+F81+F87+F88+F89+F99+预备费</f>
        <v>#REF!</v>
      </c>
    </row>
    <row r="102" spans="1:11" ht="16.5" customHeight="1" hidden="1" outlineLevel="1">
      <c r="A102" s="129">
        <v>1</v>
      </c>
      <c r="B102" s="137" t="s">
        <v>130</v>
      </c>
      <c r="C102" s="143"/>
      <c r="D102" s="143"/>
      <c r="E102" s="143"/>
      <c r="F102" s="131">
        <f>G102</f>
        <v>0</v>
      </c>
      <c r="G102" s="131"/>
      <c r="H102" s="129"/>
      <c r="I102" s="179"/>
      <c r="J102" s="184"/>
      <c r="K102" s="183"/>
    </row>
    <row r="103" spans="1:11" s="113" customFormat="1" ht="16.5" customHeight="1" hidden="1">
      <c r="A103" s="136"/>
      <c r="B103" s="134" t="s">
        <v>131</v>
      </c>
      <c r="C103" s="133"/>
      <c r="D103" s="133"/>
      <c r="E103" s="133"/>
      <c r="F103" s="135">
        <f>F102</f>
        <v>0</v>
      </c>
      <c r="G103" s="135">
        <f>G102</f>
        <v>0</v>
      </c>
      <c r="H103" s="136" t="s">
        <v>20</v>
      </c>
      <c r="I103" s="179">
        <f>I49</f>
        <v>0.1709</v>
      </c>
      <c r="J103" s="149">
        <f>建贷或融资费/I103*10000</f>
        <v>0</v>
      </c>
      <c r="K103" s="181"/>
    </row>
    <row r="104" spans="1:13" s="113" customFormat="1" ht="16.5" customHeight="1">
      <c r="A104" s="129" t="s">
        <v>129</v>
      </c>
      <c r="B104" s="134" t="s">
        <v>132</v>
      </c>
      <c r="C104" s="135">
        <f>建筑工程费</f>
        <v>3487.7287999999994</v>
      </c>
      <c r="D104" s="135">
        <f>安装工程费</f>
        <v>8.5</v>
      </c>
      <c r="E104" s="135">
        <f>设备购置费</f>
        <v>42.5</v>
      </c>
      <c r="F104" s="135">
        <f>F97+F100+F103</f>
        <v>1240.4029461760038</v>
      </c>
      <c r="G104" s="135">
        <f>工程费用+工程建设其他费+预备费+建贷或融资费</f>
        <v>4779.131746176003</v>
      </c>
      <c r="H104" s="136" t="s">
        <v>20</v>
      </c>
      <c r="I104" s="179">
        <f>I49</f>
        <v>0.1709</v>
      </c>
      <c r="J104" s="149">
        <f>工程总投资/I104*10000</f>
        <v>279644923.70836765</v>
      </c>
      <c r="K104" s="133"/>
      <c r="M104" s="135">
        <f>工程费用+G51+G63+G64+G65+G66+勘察费+G69+G70+G71+G72+G73+G75+G76+G77+G83+G84+G85+G90+G99</f>
        <v>4678.437165776002</v>
      </c>
    </row>
    <row r="105" spans="1:11" s="77" customFormat="1" ht="16.5" customHeight="1">
      <c r="A105" s="104" t="s">
        <v>133</v>
      </c>
      <c r="B105" s="167"/>
      <c r="C105" s="168"/>
      <c r="D105" s="104" t="s">
        <v>134</v>
      </c>
      <c r="E105" s="104"/>
      <c r="F105" s="104"/>
      <c r="G105" s="104"/>
      <c r="H105" s="168" t="s">
        <v>135</v>
      </c>
      <c r="I105" s="168"/>
      <c r="J105" s="168"/>
      <c r="K105" s="168"/>
    </row>
    <row r="106" spans="2:11" ht="12">
      <c r="B106" s="169"/>
      <c r="C106" s="76"/>
      <c r="F106" s="163">
        <v>2878.433815676</v>
      </c>
      <c r="G106" s="163">
        <f>工程费用-F106</f>
        <v>660.2949843239994</v>
      </c>
      <c r="H106" s="170">
        <f>G106/F106</f>
        <v>0.22939383936084323</v>
      </c>
      <c r="I106" s="185"/>
      <c r="J106" s="76"/>
      <c r="K106" s="76"/>
    </row>
    <row r="107" spans="2:11" ht="16.5" customHeight="1">
      <c r="B107" s="169"/>
      <c r="C107" s="76"/>
      <c r="F107" s="163">
        <v>7871.451108243767</v>
      </c>
      <c r="G107" s="163">
        <f>工程总投资-F107</f>
        <v>-3092.319362067764</v>
      </c>
      <c r="H107" s="170">
        <f>G107/F107</f>
        <v>-0.3928525146817185</v>
      </c>
      <c r="I107" s="185"/>
      <c r="J107" s="76"/>
      <c r="K107" s="76"/>
    </row>
    <row r="108" spans="2:13" ht="11.25" customHeight="1">
      <c r="B108" s="169"/>
      <c r="C108" s="76"/>
      <c r="E108" s="171"/>
      <c r="G108" s="172"/>
      <c r="H108" s="173"/>
      <c r="I108" s="185"/>
      <c r="J108" s="172"/>
      <c r="K108" s="76"/>
      <c r="M108" s="186"/>
    </row>
    <row r="109" spans="2:13" ht="15.75" customHeight="1">
      <c r="B109" s="169"/>
      <c r="C109" s="76"/>
      <c r="D109" s="174"/>
      <c r="F109" s="76" t="s">
        <v>136</v>
      </c>
      <c r="G109" s="172">
        <f>工程费用+工程建设其他费+预备费</f>
        <v>4779.131746176003</v>
      </c>
      <c r="H109" s="173">
        <v>0.8</v>
      </c>
      <c r="I109" s="185">
        <v>0.04</v>
      </c>
      <c r="J109" s="172"/>
      <c r="K109" s="76"/>
      <c r="M109" s="186"/>
    </row>
    <row r="110" spans="2:13" ht="15.75" customHeight="1">
      <c r="B110" s="169"/>
      <c r="C110" s="76"/>
      <c r="F110" s="76" t="s">
        <v>137</v>
      </c>
      <c r="G110" s="173">
        <v>1</v>
      </c>
      <c r="H110" s="173">
        <v>0</v>
      </c>
      <c r="I110" s="173">
        <f>100%-G110-H110</f>
        <v>0</v>
      </c>
      <c r="J110" s="172"/>
      <c r="K110" s="76"/>
      <c r="M110" s="186"/>
    </row>
    <row r="111" spans="2:13" ht="15.75" customHeight="1">
      <c r="B111" s="169"/>
      <c r="C111" s="76"/>
      <c r="F111" s="76" t="s">
        <v>138</v>
      </c>
      <c r="G111" s="163">
        <f>G109*H109*G110*I109/2</f>
        <v>76.46610793881605</v>
      </c>
      <c r="H111" s="76"/>
      <c r="I111" s="76"/>
      <c r="J111" s="172"/>
      <c r="K111" s="76"/>
      <c r="M111" s="186"/>
    </row>
    <row r="112" spans="2:13" ht="15.75" customHeight="1">
      <c r="B112" s="169"/>
      <c r="C112" s="76"/>
      <c r="F112" s="76" t="s">
        <v>139</v>
      </c>
      <c r="G112" s="163">
        <f>(G111+G109*H109*G110+G109*H109*H110/2)*I109</f>
        <v>155.99086019518475</v>
      </c>
      <c r="H112" s="76"/>
      <c r="I112" s="76"/>
      <c r="J112" s="172"/>
      <c r="K112" s="76"/>
      <c r="M112" s="186"/>
    </row>
    <row r="113" spans="1:15" ht="15.75" customHeight="1">
      <c r="A113" s="76"/>
      <c r="B113" s="169"/>
      <c r="C113" s="76"/>
      <c r="F113" s="76" t="s">
        <v>140</v>
      </c>
      <c r="G113" s="163"/>
      <c r="H113" s="76"/>
      <c r="I113" s="76"/>
      <c r="J113" s="172"/>
      <c r="K113" s="76"/>
      <c r="M113" s="186"/>
      <c r="O113" s="187">
        <f>C101+D101+E101+F101</f>
        <v>0</v>
      </c>
    </row>
    <row r="114" spans="1:13" ht="15.75" customHeight="1">
      <c r="A114" s="76"/>
      <c r="B114" s="169"/>
      <c r="C114" s="76"/>
      <c r="H114" s="76"/>
      <c r="I114" s="76"/>
      <c r="J114" s="172"/>
      <c r="K114" s="76"/>
      <c r="M114" s="186"/>
    </row>
    <row r="115" spans="1:13" ht="15.75" customHeight="1">
      <c r="A115" s="76"/>
      <c r="B115" s="169"/>
      <c r="C115" s="76"/>
      <c r="F115" s="76" t="s">
        <v>141</v>
      </c>
      <c r="G115" s="163">
        <f>SUM(G111:G114)</f>
        <v>232.45696813400082</v>
      </c>
      <c r="H115" s="76"/>
      <c r="I115" s="76"/>
      <c r="J115" s="172"/>
      <c r="K115" s="76"/>
      <c r="M115" s="186"/>
    </row>
    <row r="116" spans="1:11" ht="15.75" customHeight="1">
      <c r="A116" s="76"/>
      <c r="B116" s="169"/>
      <c r="C116" s="76"/>
      <c r="H116" s="76"/>
      <c r="I116" s="76"/>
      <c r="J116" s="76"/>
      <c r="K116" s="76"/>
    </row>
    <row r="117" spans="1:11" ht="15.75" customHeight="1">
      <c r="A117" s="76"/>
      <c r="B117" s="169"/>
      <c r="C117" s="76"/>
      <c r="H117" s="76"/>
      <c r="I117" s="76"/>
      <c r="J117" s="76"/>
      <c r="K117" s="76"/>
    </row>
    <row r="118" spans="1:11" ht="12">
      <c r="A118" s="76"/>
      <c r="B118" s="169"/>
      <c r="C118" s="76"/>
      <c r="H118" s="76"/>
      <c r="I118" s="76"/>
      <c r="J118" s="76"/>
      <c r="K118" s="76"/>
    </row>
    <row r="119" spans="1:11" ht="12">
      <c r="A119" s="76"/>
      <c r="B119" s="169"/>
      <c r="C119" s="76"/>
      <c r="H119" s="76"/>
      <c r="I119" s="76"/>
      <c r="J119" s="76"/>
      <c r="K119" s="76"/>
    </row>
    <row r="120" spans="1:11" ht="12">
      <c r="A120" s="76"/>
      <c r="B120" s="169"/>
      <c r="C120" s="76"/>
      <c r="H120" s="76"/>
      <c r="I120" s="76"/>
      <c r="J120" s="76"/>
      <c r="K120" s="76"/>
    </row>
    <row r="121" spans="1:11" ht="12">
      <c r="A121" s="76"/>
      <c r="B121" s="169"/>
      <c r="C121" s="76"/>
      <c r="H121" s="76"/>
      <c r="I121" s="76"/>
      <c r="J121" s="76"/>
      <c r="K121" s="76"/>
    </row>
    <row r="122" spans="1:11" ht="12">
      <c r="A122" s="76"/>
      <c r="B122" s="169"/>
      <c r="C122" s="76"/>
      <c r="H122" s="76"/>
      <c r="I122" s="76"/>
      <c r="J122" s="76"/>
      <c r="K122" s="76"/>
    </row>
    <row r="123" spans="1:11" ht="12">
      <c r="A123" s="76"/>
      <c r="B123" s="169"/>
      <c r="C123" s="76"/>
      <c r="H123" s="76"/>
      <c r="I123" s="76"/>
      <c r="J123" s="76"/>
      <c r="K123" s="76"/>
    </row>
    <row r="124" spans="1:11" ht="12">
      <c r="A124" s="76"/>
      <c r="B124" s="169"/>
      <c r="C124" s="76"/>
      <c r="H124" s="76"/>
      <c r="I124" s="76"/>
      <c r="J124" s="76"/>
      <c r="K124" s="76"/>
    </row>
    <row r="125" spans="1:11" ht="12">
      <c r="A125" s="76"/>
      <c r="B125" s="169"/>
      <c r="C125" s="76"/>
      <c r="H125" s="76"/>
      <c r="I125" s="76"/>
      <c r="J125" s="76"/>
      <c r="K125" s="76"/>
    </row>
    <row r="126" spans="1:11" ht="12">
      <c r="A126" s="76"/>
      <c r="B126" s="169"/>
      <c r="C126" s="76"/>
      <c r="D126" s="163"/>
      <c r="E126" s="163"/>
      <c r="H126" s="76"/>
      <c r="I126" s="76"/>
      <c r="J126" s="76"/>
      <c r="K126" s="76"/>
    </row>
    <row r="127" spans="1:11" ht="12">
      <c r="A127" s="76"/>
      <c r="B127" s="169"/>
      <c r="C127" s="76"/>
      <c r="D127" s="163"/>
      <c r="E127" s="163"/>
      <c r="H127" s="76"/>
      <c r="I127" s="76"/>
      <c r="J127" s="76"/>
      <c r="K127" s="76"/>
    </row>
    <row r="128" spans="1:11" ht="12">
      <c r="A128" s="76"/>
      <c r="B128" s="169"/>
      <c r="C128" s="76"/>
      <c r="D128" s="163"/>
      <c r="E128" s="163"/>
      <c r="H128" s="76"/>
      <c r="I128" s="76"/>
      <c r="J128" s="76"/>
      <c r="K128" s="76"/>
    </row>
    <row r="129" spans="1:11" ht="12">
      <c r="A129" s="76"/>
      <c r="B129" s="169"/>
      <c r="C129" s="76"/>
      <c r="H129" s="76"/>
      <c r="I129" s="76"/>
      <c r="J129" s="76"/>
      <c r="K129" s="76"/>
    </row>
    <row r="130" spans="1:11" ht="12">
      <c r="A130" s="76"/>
      <c r="B130" s="169"/>
      <c r="C130" s="76"/>
      <c r="H130" s="76"/>
      <c r="I130" s="76"/>
      <c r="J130" s="76"/>
      <c r="K130" s="76"/>
    </row>
    <row r="131" spans="1:11" ht="12">
      <c r="A131" s="76"/>
      <c r="B131" s="169"/>
      <c r="C131" s="76"/>
      <c r="H131" s="76"/>
      <c r="I131" s="76"/>
      <c r="J131" s="76"/>
      <c r="K131" s="76"/>
    </row>
    <row r="132" spans="1:11" ht="12">
      <c r="A132" s="76"/>
      <c r="B132" s="169"/>
      <c r="C132" s="76"/>
      <c r="H132" s="76"/>
      <c r="I132" s="76"/>
      <c r="J132" s="76"/>
      <c r="K132" s="76"/>
    </row>
    <row r="133" spans="1:11" ht="12">
      <c r="A133" s="76"/>
      <c r="B133" s="169"/>
      <c r="C133" s="76"/>
      <c r="H133" s="76"/>
      <c r="I133" s="76"/>
      <c r="J133" s="76"/>
      <c r="K133" s="76"/>
    </row>
    <row r="134" spans="1:11" ht="12">
      <c r="A134" s="76"/>
      <c r="B134" s="169"/>
      <c r="C134" s="76"/>
      <c r="H134" s="76"/>
      <c r="I134" s="76"/>
      <c r="J134" s="76"/>
      <c r="K134" s="76"/>
    </row>
    <row r="135" spans="1:11" ht="12">
      <c r="A135" s="76"/>
      <c r="B135" s="169"/>
      <c r="C135" s="76"/>
      <c r="H135" s="76"/>
      <c r="I135" s="76"/>
      <c r="J135" s="76"/>
      <c r="K135" s="76"/>
    </row>
    <row r="136" spans="1:11" ht="12">
      <c r="A136" s="76"/>
      <c r="B136" s="169"/>
      <c r="C136" s="76"/>
      <c r="H136" s="76"/>
      <c r="I136" s="76"/>
      <c r="J136" s="76"/>
      <c r="K136" s="76"/>
    </row>
    <row r="137" spans="1:11" ht="12">
      <c r="A137" s="76"/>
      <c r="B137" s="169"/>
      <c r="C137" s="76"/>
      <c r="H137" s="76"/>
      <c r="I137" s="76"/>
      <c r="J137" s="76"/>
      <c r="K137" s="76"/>
    </row>
    <row r="138" spans="1:11" ht="12">
      <c r="A138" s="76"/>
      <c r="B138" s="169"/>
      <c r="C138" s="76"/>
      <c r="H138" s="76"/>
      <c r="I138" s="76"/>
      <c r="J138" s="76"/>
      <c r="K138" s="76"/>
    </row>
    <row r="139" spans="1:11" ht="12">
      <c r="A139" s="76"/>
      <c r="B139" s="169"/>
      <c r="C139" s="76"/>
      <c r="H139" s="76"/>
      <c r="I139" s="76"/>
      <c r="J139" s="76"/>
      <c r="K139" s="76"/>
    </row>
    <row r="140" spans="1:11" ht="12">
      <c r="A140" s="76"/>
      <c r="B140" s="169"/>
      <c r="C140" s="76"/>
      <c r="H140" s="76"/>
      <c r="I140" s="76"/>
      <c r="J140" s="76"/>
      <c r="K140" s="76"/>
    </row>
    <row r="141" spans="1:11" ht="12">
      <c r="A141" s="76"/>
      <c r="B141" s="169"/>
      <c r="C141" s="76"/>
      <c r="H141" s="76"/>
      <c r="I141" s="76"/>
      <c r="J141" s="76"/>
      <c r="K141" s="76"/>
    </row>
    <row r="142" spans="1:11" ht="12">
      <c r="A142" s="76"/>
      <c r="B142" s="169"/>
      <c r="C142" s="76"/>
      <c r="H142" s="76"/>
      <c r="I142" s="76"/>
      <c r="J142" s="76"/>
      <c r="K142" s="76"/>
    </row>
    <row r="143" spans="1:11" ht="12">
      <c r="A143" s="76"/>
      <c r="B143" s="169"/>
      <c r="C143" s="76"/>
      <c r="H143" s="76"/>
      <c r="I143" s="76"/>
      <c r="J143" s="76"/>
      <c r="K143" s="76"/>
    </row>
    <row r="144" spans="1:11" ht="12">
      <c r="A144" s="76"/>
      <c r="B144" s="169"/>
      <c r="C144" s="76"/>
      <c r="H144" s="76"/>
      <c r="I144" s="76"/>
      <c r="J144" s="76"/>
      <c r="K144" s="76"/>
    </row>
    <row r="145" spans="1:11" ht="12">
      <c r="A145" s="76"/>
      <c r="B145" s="169"/>
      <c r="C145" s="76"/>
      <c r="H145" s="76"/>
      <c r="I145" s="76"/>
      <c r="J145" s="76"/>
      <c r="K145" s="76"/>
    </row>
    <row r="146" spans="1:11" ht="12">
      <c r="A146" s="76"/>
      <c r="B146" s="169"/>
      <c r="C146" s="76"/>
      <c r="H146" s="76"/>
      <c r="I146" s="76"/>
      <c r="J146" s="76"/>
      <c r="K146" s="76"/>
    </row>
    <row r="147" spans="1:11" ht="12">
      <c r="A147" s="76"/>
      <c r="B147" s="169"/>
      <c r="C147" s="76"/>
      <c r="H147" s="76"/>
      <c r="I147" s="76"/>
      <c r="J147" s="76"/>
      <c r="K147" s="76"/>
    </row>
    <row r="148" spans="1:11" ht="12">
      <c r="A148" s="76"/>
      <c r="B148" s="169"/>
      <c r="C148" s="76"/>
      <c r="H148" s="76"/>
      <c r="I148" s="76"/>
      <c r="J148" s="76"/>
      <c r="K148" s="76"/>
    </row>
    <row r="149" spans="1:11" ht="12">
      <c r="A149" s="76"/>
      <c r="B149" s="169"/>
      <c r="C149" s="76"/>
      <c r="H149" s="76"/>
      <c r="I149" s="76"/>
      <c r="J149" s="76"/>
      <c r="K149" s="76"/>
    </row>
    <row r="150" spans="1:11" ht="12">
      <c r="A150" s="76"/>
      <c r="B150" s="169"/>
      <c r="C150" s="76"/>
      <c r="H150" s="76"/>
      <c r="I150" s="76"/>
      <c r="J150" s="76"/>
      <c r="K150" s="76"/>
    </row>
    <row r="151" spans="1:11" ht="12">
      <c r="A151" s="76"/>
      <c r="B151" s="169"/>
      <c r="C151" s="76"/>
      <c r="H151" s="76"/>
      <c r="I151" s="76"/>
      <c r="J151" s="76"/>
      <c r="K151" s="76"/>
    </row>
    <row r="152" spans="1:11" ht="12">
      <c r="A152" s="76"/>
      <c r="B152" s="169"/>
      <c r="C152" s="76"/>
      <c r="H152" s="76"/>
      <c r="I152" s="76"/>
      <c r="J152" s="76"/>
      <c r="K152" s="76"/>
    </row>
    <row r="153" spans="1:11" ht="12">
      <c r="A153" s="76"/>
      <c r="B153" s="169"/>
      <c r="C153" s="76"/>
      <c r="H153" s="76"/>
      <c r="I153" s="76"/>
      <c r="J153" s="76"/>
      <c r="K153" s="76"/>
    </row>
    <row r="154" spans="1:11" ht="12">
      <c r="A154" s="76"/>
      <c r="B154" s="169"/>
      <c r="C154" s="76"/>
      <c r="H154" s="76"/>
      <c r="I154" s="76"/>
      <c r="J154" s="76"/>
      <c r="K154" s="76"/>
    </row>
    <row r="155" spans="1:11" ht="12">
      <c r="A155" s="76"/>
      <c r="B155" s="169"/>
      <c r="C155" s="76"/>
      <c r="H155" s="76"/>
      <c r="I155" s="76"/>
      <c r="J155" s="76"/>
      <c r="K155" s="76"/>
    </row>
    <row r="156" spans="1:11" ht="12">
      <c r="A156" s="76"/>
      <c r="B156" s="169"/>
      <c r="C156" s="76"/>
      <c r="H156" s="76"/>
      <c r="I156" s="76"/>
      <c r="J156" s="76"/>
      <c r="K156" s="76"/>
    </row>
    <row r="157" spans="1:11" ht="12">
      <c r="A157" s="76"/>
      <c r="B157" s="169"/>
      <c r="C157" s="76"/>
      <c r="H157" s="76"/>
      <c r="I157" s="76"/>
      <c r="J157" s="76"/>
      <c r="K157" s="76"/>
    </row>
    <row r="158" spans="1:11" ht="12">
      <c r="A158" s="76"/>
      <c r="B158" s="169"/>
      <c r="C158" s="76"/>
      <c r="H158" s="76"/>
      <c r="I158" s="76"/>
      <c r="J158" s="76"/>
      <c r="K158" s="76"/>
    </row>
    <row r="159" spans="1:11" ht="12">
      <c r="A159" s="76"/>
      <c r="B159" s="169"/>
      <c r="C159" s="76"/>
      <c r="H159" s="76"/>
      <c r="I159" s="76"/>
      <c r="J159" s="76"/>
      <c r="K159" s="76"/>
    </row>
    <row r="160" spans="1:11" ht="12">
      <c r="A160" s="76"/>
      <c r="B160" s="169"/>
      <c r="C160" s="76"/>
      <c r="H160" s="76"/>
      <c r="I160" s="76"/>
      <c r="J160" s="76"/>
      <c r="K160" s="76"/>
    </row>
    <row r="161" spans="1:11" ht="12">
      <c r="A161" s="76"/>
      <c r="B161" s="169"/>
      <c r="C161" s="76"/>
      <c r="H161" s="76"/>
      <c r="I161" s="76"/>
      <c r="J161" s="76"/>
      <c r="K161" s="76"/>
    </row>
    <row r="162" spans="1:11" ht="12">
      <c r="A162" s="76"/>
      <c r="B162" s="169"/>
      <c r="C162" s="76"/>
      <c r="H162" s="76"/>
      <c r="I162" s="76"/>
      <c r="J162" s="76"/>
      <c r="K162" s="76"/>
    </row>
    <row r="163" spans="1:11" ht="12">
      <c r="A163" s="76"/>
      <c r="B163" s="169"/>
      <c r="C163" s="76"/>
      <c r="H163" s="76"/>
      <c r="I163" s="76"/>
      <c r="J163" s="76"/>
      <c r="K163" s="76"/>
    </row>
    <row r="164" spans="1:11" ht="12">
      <c r="A164" s="76"/>
      <c r="B164" s="169"/>
      <c r="C164" s="76"/>
      <c r="H164" s="76"/>
      <c r="I164" s="76"/>
      <c r="J164" s="76"/>
      <c r="K164" s="76"/>
    </row>
    <row r="165" spans="1:11" ht="12">
      <c r="A165" s="76"/>
      <c r="B165" s="169"/>
      <c r="C165" s="76"/>
      <c r="H165" s="76"/>
      <c r="I165" s="76"/>
      <c r="J165" s="76"/>
      <c r="K165" s="76"/>
    </row>
    <row r="166" spans="1:11" ht="12">
      <c r="A166" s="76"/>
      <c r="B166" s="169"/>
      <c r="C166" s="76"/>
      <c r="H166" s="76"/>
      <c r="I166" s="76"/>
      <c r="J166" s="76"/>
      <c r="K166" s="76"/>
    </row>
    <row r="167" spans="1:11" ht="12">
      <c r="A167" s="76"/>
      <c r="B167" s="169"/>
      <c r="C167" s="76"/>
      <c r="H167" s="76"/>
      <c r="I167" s="76"/>
      <c r="J167" s="76"/>
      <c r="K167" s="76"/>
    </row>
    <row r="168" spans="1:11" ht="12">
      <c r="A168" s="76"/>
      <c r="B168" s="169"/>
      <c r="C168" s="76"/>
      <c r="H168" s="76"/>
      <c r="I168" s="76"/>
      <c r="J168" s="76"/>
      <c r="K168" s="76"/>
    </row>
    <row r="169" spans="1:11" ht="12">
      <c r="A169" s="76"/>
      <c r="B169" s="169"/>
      <c r="C169" s="76"/>
      <c r="H169" s="76"/>
      <c r="I169" s="76"/>
      <c r="J169" s="76"/>
      <c r="K169" s="76"/>
    </row>
    <row r="170" spans="1:11" ht="12">
      <c r="A170" s="76"/>
      <c r="B170" s="169"/>
      <c r="C170" s="76"/>
      <c r="H170" s="76"/>
      <c r="I170" s="76"/>
      <c r="J170" s="76"/>
      <c r="K170" s="76"/>
    </row>
  </sheetData>
  <sheetProtection/>
  <mergeCells count="4">
    <mergeCell ref="H2:J2"/>
    <mergeCell ref="A2:A3"/>
    <mergeCell ref="B2:B3"/>
    <mergeCell ref="K2:K3"/>
  </mergeCells>
  <conditionalFormatting sqref="I6">
    <cfRule type="expression" priority="151" dxfId="0" stopIfTrue="1">
      <formula>CELL("address")=ADDRESS(ROW(),COLUMN())</formula>
    </cfRule>
    <cfRule type="cellIs" priority="152" dxfId="1" operator="equal" stopIfTrue="1">
      <formula>0</formula>
    </cfRule>
  </conditionalFormatting>
  <conditionalFormatting sqref="H11">
    <cfRule type="expression" priority="403" dxfId="0" stopIfTrue="1">
      <formula>CELL("address")=ADDRESS(ROW(),COLUMN())</formula>
    </cfRule>
    <cfRule type="cellIs" priority="404" dxfId="1" operator="equal" stopIfTrue="1">
      <formula>0</formula>
    </cfRule>
  </conditionalFormatting>
  <conditionalFormatting sqref="I11">
    <cfRule type="expression" priority="405" dxfId="0" stopIfTrue="1">
      <formula>CELL("address")=ADDRESS(ROW(),COLUMN())</formula>
    </cfRule>
    <cfRule type="cellIs" priority="406" dxfId="1" operator="equal" stopIfTrue="1">
      <formula>0</formula>
    </cfRule>
  </conditionalFormatting>
  <conditionalFormatting sqref="H12">
    <cfRule type="expression" priority="81" dxfId="0" stopIfTrue="1">
      <formula>CELL("address")=ADDRESS(ROW(),COLUMN())</formula>
    </cfRule>
    <cfRule type="cellIs" priority="82" dxfId="1" operator="equal" stopIfTrue="1">
      <formula>0</formula>
    </cfRule>
  </conditionalFormatting>
  <conditionalFormatting sqref="I12">
    <cfRule type="expression" priority="83" dxfId="0" stopIfTrue="1">
      <formula>CELL("address")=ADDRESS(ROW(),COLUMN())</formula>
    </cfRule>
    <cfRule type="cellIs" priority="84" dxfId="1" operator="equal" stopIfTrue="1">
      <formula>0</formula>
    </cfRule>
  </conditionalFormatting>
  <conditionalFormatting sqref="J12">
    <cfRule type="expression" priority="79" dxfId="0" stopIfTrue="1">
      <formula>CELL("address")=ADDRESS(ROW(),COLUMN())</formula>
    </cfRule>
    <cfRule type="cellIs" priority="80" dxfId="1" operator="equal" stopIfTrue="1">
      <formula>0</formula>
    </cfRule>
  </conditionalFormatting>
  <conditionalFormatting sqref="H13">
    <cfRule type="expression" priority="401" dxfId="0" stopIfTrue="1">
      <formula>CELL("address")=ADDRESS(ROW(),COLUMN())</formula>
    </cfRule>
    <cfRule type="cellIs" priority="402" dxfId="1" operator="equal" stopIfTrue="1">
      <formula>0</formula>
    </cfRule>
  </conditionalFormatting>
  <conditionalFormatting sqref="I13">
    <cfRule type="expression" priority="449" dxfId="0" stopIfTrue="1">
      <formula>CELL("address")=ADDRESS(ROW(),COLUMN())</formula>
    </cfRule>
    <cfRule type="cellIs" priority="450" dxfId="1" operator="equal" stopIfTrue="1">
      <formula>0</formula>
    </cfRule>
  </conditionalFormatting>
  <conditionalFormatting sqref="G14">
    <cfRule type="expression" priority="231" dxfId="0" stopIfTrue="1">
      <formula>CELL("address")=ADDRESS(ROW(),COLUMN())</formula>
    </cfRule>
    <cfRule type="cellIs" priority="232" dxfId="1" operator="equal" stopIfTrue="1">
      <formula>0</formula>
    </cfRule>
  </conditionalFormatting>
  <conditionalFormatting sqref="I16">
    <cfRule type="expression" priority="439" dxfId="0" stopIfTrue="1">
      <formula>CELL("address")=ADDRESS(ROW(),COLUMN())</formula>
    </cfRule>
    <cfRule type="cellIs" priority="440" dxfId="1" operator="equal" stopIfTrue="1">
      <formula>0</formula>
    </cfRule>
  </conditionalFormatting>
  <conditionalFormatting sqref="I17">
    <cfRule type="expression" priority="473" dxfId="0" stopIfTrue="1">
      <formula>CELL("address")=ADDRESS(ROW(),COLUMN())</formula>
    </cfRule>
    <cfRule type="cellIs" priority="474" dxfId="1" operator="equal" stopIfTrue="1">
      <formula>0</formula>
    </cfRule>
  </conditionalFormatting>
  <conditionalFormatting sqref="G18">
    <cfRule type="expression" priority="233" dxfId="0" stopIfTrue="1">
      <formula>CELL("address")=ADDRESS(ROW(),COLUMN())</formula>
    </cfRule>
    <cfRule type="cellIs" priority="234" dxfId="1" operator="equal" stopIfTrue="1">
      <formula>0</formula>
    </cfRule>
  </conditionalFormatting>
  <conditionalFormatting sqref="I18">
    <cfRule type="expression" priority="147" dxfId="0" stopIfTrue="1">
      <formula>CELL("address")=ADDRESS(ROW(),COLUMN())</formula>
    </cfRule>
    <cfRule type="cellIs" priority="148" dxfId="1" operator="equal" stopIfTrue="1">
      <formula>0</formula>
    </cfRule>
  </conditionalFormatting>
  <conditionalFormatting sqref="H19">
    <cfRule type="expression" priority="371" dxfId="0" stopIfTrue="1">
      <formula>CELL("address")=ADDRESS(ROW(),COLUMN())</formula>
    </cfRule>
    <cfRule type="cellIs" priority="372" dxfId="1" operator="equal" stopIfTrue="1">
      <formula>0</formula>
    </cfRule>
  </conditionalFormatting>
  <conditionalFormatting sqref="I19">
    <cfRule type="expression" priority="99" dxfId="0" stopIfTrue="1">
      <formula>CELL("address")=ADDRESS(ROW(),COLUMN())</formula>
    </cfRule>
    <cfRule type="cellIs" priority="100" dxfId="1" operator="equal" stopIfTrue="1">
      <formula>0</formula>
    </cfRule>
  </conditionalFormatting>
  <conditionalFormatting sqref="H20">
    <cfRule type="expression" priority="93" dxfId="0" stopIfTrue="1">
      <formula>CELL("address")=ADDRESS(ROW(),COLUMN())</formula>
    </cfRule>
    <cfRule type="cellIs" priority="94" dxfId="1" operator="equal" stopIfTrue="1">
      <formula>0</formula>
    </cfRule>
  </conditionalFormatting>
  <conditionalFormatting sqref="I20">
    <cfRule type="expression" priority="95" dxfId="0" stopIfTrue="1">
      <formula>CELL("address")=ADDRESS(ROW(),COLUMN())</formula>
    </cfRule>
    <cfRule type="cellIs" priority="96" dxfId="1" operator="equal" stopIfTrue="1">
      <formula>0</formula>
    </cfRule>
  </conditionalFormatting>
  <conditionalFormatting sqref="J20">
    <cfRule type="expression" priority="91" dxfId="0" stopIfTrue="1">
      <formula>CELL("address")=ADDRESS(ROW(),COLUMN())</formula>
    </cfRule>
    <cfRule type="cellIs" priority="92" dxfId="1" operator="equal" stopIfTrue="1">
      <formula>0</formula>
    </cfRule>
  </conditionalFormatting>
  <conditionalFormatting sqref="A21">
    <cfRule type="expression" priority="343" dxfId="0" stopIfTrue="1">
      <formula>CELL("address")=ADDRESS(ROW(),COLUMN())</formula>
    </cfRule>
    <cfRule type="cellIs" priority="344" dxfId="1" operator="equal" stopIfTrue="1">
      <formula>0</formula>
    </cfRule>
  </conditionalFormatting>
  <conditionalFormatting sqref="G21">
    <cfRule type="expression" priority="235" dxfId="0" stopIfTrue="1">
      <formula>CELL("address")=ADDRESS(ROW(),COLUMN())</formula>
    </cfRule>
    <cfRule type="cellIs" priority="236" dxfId="1" operator="equal" stopIfTrue="1">
      <formula>0</formula>
    </cfRule>
  </conditionalFormatting>
  <conditionalFormatting sqref="I21">
    <cfRule type="expression" priority="145" dxfId="0" stopIfTrue="1">
      <formula>CELL("address")=ADDRESS(ROW(),COLUMN())</formula>
    </cfRule>
    <cfRule type="cellIs" priority="146" dxfId="1" operator="equal" stopIfTrue="1">
      <formula>0</formula>
    </cfRule>
  </conditionalFormatting>
  <conditionalFormatting sqref="H22">
    <cfRule type="expression" priority="269" dxfId="0" stopIfTrue="1">
      <formula>CELL("address")=ADDRESS(ROW(),COLUMN())</formula>
    </cfRule>
    <cfRule type="cellIs" priority="270" dxfId="1" operator="equal" stopIfTrue="1">
      <formula>0</formula>
    </cfRule>
  </conditionalFormatting>
  <conditionalFormatting sqref="I22">
    <cfRule type="expression" priority="353" dxfId="0" stopIfTrue="1">
      <formula>CELL("address")=ADDRESS(ROW(),COLUMN())</formula>
    </cfRule>
    <cfRule type="cellIs" priority="354" dxfId="1" operator="equal" stopIfTrue="1">
      <formula>0</formula>
    </cfRule>
  </conditionalFormatting>
  <conditionalFormatting sqref="H23">
    <cfRule type="expression" priority="271" dxfId="0" stopIfTrue="1">
      <formula>CELL("address")=ADDRESS(ROW(),COLUMN())</formula>
    </cfRule>
    <cfRule type="cellIs" priority="272" dxfId="1" operator="equal" stopIfTrue="1">
      <formula>0</formula>
    </cfRule>
  </conditionalFormatting>
  <conditionalFormatting sqref="I23">
    <cfRule type="expression" priority="347" dxfId="0" stopIfTrue="1">
      <formula>CELL("address")=ADDRESS(ROW(),COLUMN())</formula>
    </cfRule>
    <cfRule type="cellIs" priority="348" dxfId="1" operator="equal" stopIfTrue="1">
      <formula>0</formula>
    </cfRule>
  </conditionalFormatting>
  <conditionalFormatting sqref="H24">
    <cfRule type="expression" priority="267" dxfId="0" stopIfTrue="1">
      <formula>CELL("address")=ADDRESS(ROW(),COLUMN())</formula>
    </cfRule>
    <cfRule type="cellIs" priority="268" dxfId="1" operator="equal" stopIfTrue="1">
      <formula>0</formula>
    </cfRule>
  </conditionalFormatting>
  <conditionalFormatting sqref="I24">
    <cfRule type="expression" priority="361" dxfId="0" stopIfTrue="1">
      <formula>CELL("address")=ADDRESS(ROW(),COLUMN())</formula>
    </cfRule>
    <cfRule type="cellIs" priority="362" dxfId="1" operator="equal" stopIfTrue="1">
      <formula>0</formula>
    </cfRule>
  </conditionalFormatting>
  <conditionalFormatting sqref="A25">
    <cfRule type="expression" priority="317" dxfId="0" stopIfTrue="1">
      <formula>CELL("address")=ADDRESS(ROW(),COLUMN())</formula>
    </cfRule>
    <cfRule type="cellIs" priority="318" dxfId="1" operator="equal" stopIfTrue="1">
      <formula>0</formula>
    </cfRule>
  </conditionalFormatting>
  <conditionalFormatting sqref="G25">
    <cfRule type="expression" priority="237" dxfId="0" stopIfTrue="1">
      <formula>CELL("address")=ADDRESS(ROW(),COLUMN())</formula>
    </cfRule>
    <cfRule type="cellIs" priority="238" dxfId="1" operator="equal" stopIfTrue="1">
      <formula>0</formula>
    </cfRule>
  </conditionalFormatting>
  <conditionalFormatting sqref="I25">
    <cfRule type="expression" priority="143" dxfId="0" stopIfTrue="1">
      <formula>CELL("address")=ADDRESS(ROW(),COLUMN())</formula>
    </cfRule>
    <cfRule type="cellIs" priority="144" dxfId="1" operator="equal" stopIfTrue="1">
      <formula>0</formula>
    </cfRule>
  </conditionalFormatting>
  <conditionalFormatting sqref="H26">
    <cfRule type="expression" priority="275" dxfId="0" stopIfTrue="1">
      <formula>CELL("address")=ADDRESS(ROW(),COLUMN())</formula>
    </cfRule>
    <cfRule type="cellIs" priority="276" dxfId="1" operator="equal" stopIfTrue="1">
      <formula>0</formula>
    </cfRule>
  </conditionalFormatting>
  <conditionalFormatting sqref="I26">
    <cfRule type="expression" priority="329" dxfId="0" stopIfTrue="1">
      <formula>CELL("address")=ADDRESS(ROW(),COLUMN())</formula>
    </cfRule>
    <cfRule type="cellIs" priority="330" dxfId="1" operator="equal" stopIfTrue="1">
      <formula>0</formula>
    </cfRule>
  </conditionalFormatting>
  <conditionalFormatting sqref="H27">
    <cfRule type="expression" priority="277" dxfId="0" stopIfTrue="1">
      <formula>CELL("address")=ADDRESS(ROW(),COLUMN())</formula>
    </cfRule>
    <cfRule type="cellIs" priority="278" dxfId="1" operator="equal" stopIfTrue="1">
      <formula>0</formula>
    </cfRule>
  </conditionalFormatting>
  <conditionalFormatting sqref="I27">
    <cfRule type="expression" priority="323" dxfId="0" stopIfTrue="1">
      <formula>CELL("address")=ADDRESS(ROW(),COLUMN())</formula>
    </cfRule>
    <cfRule type="cellIs" priority="324" dxfId="1" operator="equal" stopIfTrue="1">
      <formula>0</formula>
    </cfRule>
  </conditionalFormatting>
  <conditionalFormatting sqref="I28">
    <cfRule type="expression" priority="307" dxfId="0" stopIfTrue="1">
      <formula>CELL("address")=ADDRESS(ROW(),COLUMN())</formula>
    </cfRule>
    <cfRule type="cellIs" priority="308" dxfId="1" operator="equal" stopIfTrue="1">
      <formula>0</formula>
    </cfRule>
  </conditionalFormatting>
  <conditionalFormatting sqref="I29">
    <cfRule type="expression" priority="313" dxfId="0" stopIfTrue="1">
      <formula>CELL("address")=ADDRESS(ROW(),COLUMN())</formula>
    </cfRule>
    <cfRule type="cellIs" priority="314" dxfId="1" operator="equal" stopIfTrue="1">
      <formula>0</formula>
    </cfRule>
  </conditionalFormatting>
  <conditionalFormatting sqref="I30">
    <cfRule type="expression" priority="337" dxfId="0" stopIfTrue="1">
      <formula>CELL("address")=ADDRESS(ROW(),COLUMN())</formula>
    </cfRule>
    <cfRule type="cellIs" priority="338" dxfId="1" operator="equal" stopIfTrue="1">
      <formula>0</formula>
    </cfRule>
  </conditionalFormatting>
  <conditionalFormatting sqref="A31">
    <cfRule type="expression" priority="281" dxfId="0" stopIfTrue="1">
      <formula>CELL("address")=ADDRESS(ROW(),COLUMN())</formula>
    </cfRule>
    <cfRule type="cellIs" priority="282" dxfId="1" operator="equal" stopIfTrue="1">
      <formula>0</formula>
    </cfRule>
  </conditionalFormatting>
  <conditionalFormatting sqref="G31">
    <cfRule type="expression" priority="239" dxfId="0" stopIfTrue="1">
      <formula>CELL("address")=ADDRESS(ROW(),COLUMN())</formula>
    </cfRule>
    <cfRule type="cellIs" priority="240" dxfId="1" operator="equal" stopIfTrue="1">
      <formula>0</formula>
    </cfRule>
  </conditionalFormatting>
  <conditionalFormatting sqref="I31">
    <cfRule type="expression" priority="141" dxfId="0" stopIfTrue="1">
      <formula>CELL("address")=ADDRESS(ROW(),COLUMN())</formula>
    </cfRule>
    <cfRule type="cellIs" priority="142" dxfId="1" operator="equal" stopIfTrue="1">
      <formula>0</formula>
    </cfRule>
  </conditionalFormatting>
  <conditionalFormatting sqref="H32">
    <cfRule type="expression" priority="279" dxfId="0" stopIfTrue="1">
      <formula>CELL("address")=ADDRESS(ROW(),COLUMN())</formula>
    </cfRule>
    <cfRule type="cellIs" priority="280" dxfId="1" operator="equal" stopIfTrue="1">
      <formula>0</formula>
    </cfRule>
  </conditionalFormatting>
  <conditionalFormatting sqref="I32">
    <cfRule type="expression" priority="291" dxfId="0" stopIfTrue="1">
      <formula>CELL("address")=ADDRESS(ROW(),COLUMN())</formula>
    </cfRule>
    <cfRule type="cellIs" priority="292" dxfId="1" operator="equal" stopIfTrue="1">
      <formula>0</formula>
    </cfRule>
  </conditionalFormatting>
  <conditionalFormatting sqref="H33">
    <cfRule type="expression" priority="283" dxfId="0" stopIfTrue="1">
      <formula>CELL("address")=ADDRESS(ROW(),COLUMN())</formula>
    </cfRule>
    <cfRule type="cellIs" priority="284" dxfId="1" operator="equal" stopIfTrue="1">
      <formula>0</formula>
    </cfRule>
  </conditionalFormatting>
  <conditionalFormatting sqref="I33">
    <cfRule type="expression" priority="285" dxfId="0" stopIfTrue="1">
      <formula>CELL("address")=ADDRESS(ROW(),COLUMN())</formula>
    </cfRule>
    <cfRule type="cellIs" priority="286" dxfId="1" operator="equal" stopIfTrue="1">
      <formula>0</formula>
    </cfRule>
  </conditionalFormatting>
  <conditionalFormatting sqref="H34">
    <cfRule type="expression" priority="289" dxfId="0" stopIfTrue="1">
      <formula>CELL("address")=ADDRESS(ROW(),COLUMN())</formula>
    </cfRule>
    <cfRule type="cellIs" priority="290" dxfId="1" operator="equal" stopIfTrue="1">
      <formula>0</formula>
    </cfRule>
  </conditionalFormatting>
  <conditionalFormatting sqref="I34">
    <cfRule type="expression" priority="299" dxfId="0" stopIfTrue="1">
      <formula>CELL("address")=ADDRESS(ROW(),COLUMN())</formula>
    </cfRule>
    <cfRule type="cellIs" priority="300" dxfId="1" operator="equal" stopIfTrue="1">
      <formula>0</formula>
    </cfRule>
  </conditionalFormatting>
  <conditionalFormatting sqref="A35">
    <cfRule type="expression" priority="245" dxfId="0" stopIfTrue="1">
      <formula>CELL("address")=ADDRESS(ROW(),COLUMN())</formula>
    </cfRule>
    <cfRule type="cellIs" priority="246" dxfId="1" operator="equal" stopIfTrue="1">
      <formula>0</formula>
    </cfRule>
  </conditionalFormatting>
  <conditionalFormatting sqref="G35">
    <cfRule type="expression" priority="229" dxfId="0" stopIfTrue="1">
      <formula>CELL("address")=ADDRESS(ROW(),COLUMN())</formula>
    </cfRule>
    <cfRule type="cellIs" priority="230" dxfId="1" operator="equal" stopIfTrue="1">
      <formula>0</formula>
    </cfRule>
  </conditionalFormatting>
  <conditionalFormatting sqref="I35">
    <cfRule type="expression" priority="139" dxfId="0" stopIfTrue="1">
      <formula>CELL("address")=ADDRESS(ROW(),COLUMN())</formula>
    </cfRule>
    <cfRule type="cellIs" priority="140" dxfId="1" operator="equal" stopIfTrue="1">
      <formula>0</formula>
    </cfRule>
  </conditionalFormatting>
  <conditionalFormatting sqref="H36">
    <cfRule type="expression" priority="243" dxfId="0" stopIfTrue="1">
      <formula>CELL("address")=ADDRESS(ROW(),COLUMN())</formula>
    </cfRule>
    <cfRule type="cellIs" priority="244" dxfId="1" operator="equal" stopIfTrue="1">
      <formula>0</formula>
    </cfRule>
  </conditionalFormatting>
  <conditionalFormatting sqref="I36">
    <cfRule type="expression" priority="255" dxfId="0" stopIfTrue="1">
      <formula>CELL("address")=ADDRESS(ROW(),COLUMN())</formula>
    </cfRule>
    <cfRule type="cellIs" priority="256" dxfId="1" operator="equal" stopIfTrue="1">
      <formula>0</formula>
    </cfRule>
  </conditionalFormatting>
  <conditionalFormatting sqref="H37">
    <cfRule type="expression" priority="3" dxfId="0" stopIfTrue="1">
      <formula>CELL("address")=ADDRESS(ROW(),COLUMN())</formula>
    </cfRule>
    <cfRule type="cellIs" priority="4" dxfId="1" operator="equal" stopIfTrue="1">
      <formula>0</formula>
    </cfRule>
  </conditionalFormatting>
  <conditionalFormatting sqref="I37">
    <cfRule type="expression" priority="249" dxfId="0" stopIfTrue="1">
      <formula>CELL("address")=ADDRESS(ROW(),COLUMN())</formula>
    </cfRule>
    <cfRule type="cellIs" priority="250" dxfId="1" operator="equal" stopIfTrue="1">
      <formula>0</formula>
    </cfRule>
  </conditionalFormatting>
  <conditionalFormatting sqref="A38">
    <cfRule type="expression" priority="215" dxfId="0" stopIfTrue="1">
      <formula>CELL("address")=ADDRESS(ROW(),COLUMN())</formula>
    </cfRule>
    <cfRule type="cellIs" priority="216" dxfId="1" operator="equal" stopIfTrue="1">
      <formula>0</formula>
    </cfRule>
  </conditionalFormatting>
  <conditionalFormatting sqref="G38">
    <cfRule type="expression" priority="209" dxfId="0" stopIfTrue="1">
      <formula>CELL("address")=ADDRESS(ROW(),COLUMN())</formula>
    </cfRule>
    <cfRule type="cellIs" priority="210" dxfId="1" operator="equal" stopIfTrue="1">
      <formula>0</formula>
    </cfRule>
  </conditionalFormatting>
  <conditionalFormatting sqref="I38">
    <cfRule type="expression" priority="137" dxfId="0" stopIfTrue="1">
      <formula>CELL("address")=ADDRESS(ROW(),COLUMN())</formula>
    </cfRule>
    <cfRule type="cellIs" priority="138" dxfId="1" operator="equal" stopIfTrue="1">
      <formula>0</formula>
    </cfRule>
  </conditionalFormatting>
  <conditionalFormatting sqref="H39">
    <cfRule type="expression" priority="213" dxfId="0" stopIfTrue="1">
      <formula>CELL("address")=ADDRESS(ROW(),COLUMN())</formula>
    </cfRule>
    <cfRule type="cellIs" priority="214" dxfId="1" operator="equal" stopIfTrue="1">
      <formula>0</formula>
    </cfRule>
  </conditionalFormatting>
  <conditionalFormatting sqref="I39">
    <cfRule type="expression" priority="221" dxfId="0" stopIfTrue="1">
      <formula>CELL("address")=ADDRESS(ROW(),COLUMN())</formula>
    </cfRule>
    <cfRule type="cellIs" priority="222" dxfId="1" operator="equal" stopIfTrue="1">
      <formula>0</formula>
    </cfRule>
  </conditionalFormatting>
  <conditionalFormatting sqref="H40">
    <cfRule type="expression" priority="1" dxfId="0" stopIfTrue="1">
      <formula>CELL("address")=ADDRESS(ROW(),COLUMN())</formula>
    </cfRule>
    <cfRule type="cellIs" priority="2" dxfId="1" operator="equal" stopIfTrue="1">
      <formula>0</formula>
    </cfRule>
  </conditionalFormatting>
  <conditionalFormatting sqref="I40">
    <cfRule type="expression" priority="217" dxfId="0" stopIfTrue="1">
      <formula>CELL("address")=ADDRESS(ROW(),COLUMN())</formula>
    </cfRule>
    <cfRule type="cellIs" priority="218" dxfId="1" operator="equal" stopIfTrue="1">
      <formula>0</formula>
    </cfRule>
  </conditionalFormatting>
  <conditionalFormatting sqref="A41">
    <cfRule type="expression" priority="195" dxfId="0" stopIfTrue="1">
      <formula>CELL("address")=ADDRESS(ROW(),COLUMN())</formula>
    </cfRule>
    <cfRule type="cellIs" priority="196" dxfId="1" operator="equal" stopIfTrue="1">
      <formula>0</formula>
    </cfRule>
  </conditionalFormatting>
  <conditionalFormatting sqref="G41">
    <cfRule type="expression" priority="189" dxfId="0" stopIfTrue="1">
      <formula>CELL("address")=ADDRESS(ROW(),COLUMN())</formula>
    </cfRule>
    <cfRule type="cellIs" priority="190" dxfId="1" operator="equal" stopIfTrue="1">
      <formula>0</formula>
    </cfRule>
  </conditionalFormatting>
  <conditionalFormatting sqref="I41">
    <cfRule type="expression" priority="135" dxfId="0" stopIfTrue="1">
      <formula>CELL("address")=ADDRESS(ROW(),COLUMN())</formula>
    </cfRule>
    <cfRule type="cellIs" priority="136" dxfId="1" operator="equal" stopIfTrue="1">
      <formula>0</formula>
    </cfRule>
  </conditionalFormatting>
  <conditionalFormatting sqref="H42">
    <cfRule type="expression" priority="193" dxfId="0" stopIfTrue="1">
      <formula>CELL("address")=ADDRESS(ROW(),COLUMN())</formula>
    </cfRule>
    <cfRule type="cellIs" priority="194" dxfId="1" operator="equal" stopIfTrue="1">
      <formula>0</formula>
    </cfRule>
  </conditionalFormatting>
  <conditionalFormatting sqref="I42">
    <cfRule type="expression" priority="201" dxfId="0" stopIfTrue="1">
      <formula>CELL("address")=ADDRESS(ROW(),COLUMN())</formula>
    </cfRule>
    <cfRule type="cellIs" priority="202" dxfId="1" operator="equal" stopIfTrue="1">
      <formula>0</formula>
    </cfRule>
  </conditionalFormatting>
  <conditionalFormatting sqref="H43">
    <cfRule type="expression" priority="191" dxfId="0" stopIfTrue="1">
      <formula>CELL("address")=ADDRESS(ROW(),COLUMN())</formula>
    </cfRule>
    <cfRule type="cellIs" priority="192" dxfId="1" operator="equal" stopIfTrue="1">
      <formula>0</formula>
    </cfRule>
  </conditionalFormatting>
  <conditionalFormatting sqref="I43">
    <cfRule type="expression" priority="197" dxfId="0" stopIfTrue="1">
      <formula>CELL("address")=ADDRESS(ROW(),COLUMN())</formula>
    </cfRule>
    <cfRule type="cellIs" priority="198" dxfId="1" operator="equal" stopIfTrue="1">
      <formula>0</formula>
    </cfRule>
  </conditionalFormatting>
  <conditionalFormatting sqref="A44">
    <cfRule type="expression" priority="175" dxfId="0" stopIfTrue="1">
      <formula>CELL("address")=ADDRESS(ROW(),COLUMN())</formula>
    </cfRule>
    <cfRule type="cellIs" priority="176" dxfId="1" operator="equal" stopIfTrue="1">
      <formula>0</formula>
    </cfRule>
  </conditionalFormatting>
  <conditionalFormatting sqref="G44">
    <cfRule type="expression" priority="169" dxfId="0" stopIfTrue="1">
      <formula>CELL("address")=ADDRESS(ROW(),COLUMN())</formula>
    </cfRule>
    <cfRule type="cellIs" priority="170" dxfId="1" operator="equal" stopIfTrue="1">
      <formula>0</formula>
    </cfRule>
  </conditionalFormatting>
  <conditionalFormatting sqref="I44">
    <cfRule type="expression" priority="133" dxfId="0" stopIfTrue="1">
      <formula>CELL("address")=ADDRESS(ROW(),COLUMN())</formula>
    </cfRule>
    <cfRule type="cellIs" priority="134" dxfId="1" operator="equal" stopIfTrue="1">
      <formula>0</formula>
    </cfRule>
  </conditionalFormatting>
  <conditionalFormatting sqref="H45">
    <cfRule type="expression" priority="153" dxfId="0" stopIfTrue="1">
      <formula>CELL("address")=ADDRESS(ROW(),COLUMN())</formula>
    </cfRule>
    <cfRule type="cellIs" priority="154" dxfId="1" operator="equal" stopIfTrue="1">
      <formula>0</formula>
    </cfRule>
  </conditionalFormatting>
  <conditionalFormatting sqref="I45">
    <cfRule type="expression" priority="181" dxfId="0" stopIfTrue="1">
      <formula>CELL("address")=ADDRESS(ROW(),COLUMN())</formula>
    </cfRule>
    <cfRule type="cellIs" priority="182" dxfId="1" operator="equal" stopIfTrue="1">
      <formula>0</formula>
    </cfRule>
  </conditionalFormatting>
  <conditionalFormatting sqref="H46">
    <cfRule type="expression" priority="157" dxfId="0" stopIfTrue="1">
      <formula>CELL("address")=ADDRESS(ROW(),COLUMN())</formula>
    </cfRule>
    <cfRule type="cellIs" priority="158" dxfId="1" operator="equal" stopIfTrue="1">
      <formula>0</formula>
    </cfRule>
  </conditionalFormatting>
  <conditionalFormatting sqref="I46">
    <cfRule type="expression" priority="159" dxfId="0" stopIfTrue="1">
      <formula>CELL("address")=ADDRESS(ROW(),COLUMN())</formula>
    </cfRule>
    <cfRule type="cellIs" priority="160" dxfId="1" operator="equal" stopIfTrue="1">
      <formula>0</formula>
    </cfRule>
  </conditionalFormatting>
  <conditionalFormatting sqref="H47">
    <cfRule type="expression" priority="155" dxfId="0" stopIfTrue="1">
      <formula>CELL("address")=ADDRESS(ROW(),COLUMN())</formula>
    </cfRule>
    <cfRule type="cellIs" priority="156" dxfId="1" operator="equal" stopIfTrue="1">
      <formula>0</formula>
    </cfRule>
  </conditionalFormatting>
  <conditionalFormatting sqref="I47">
    <cfRule type="expression" priority="165" dxfId="0" stopIfTrue="1">
      <formula>CELL("address")=ADDRESS(ROW(),COLUMN())</formula>
    </cfRule>
    <cfRule type="cellIs" priority="166" dxfId="1" operator="equal" stopIfTrue="1">
      <formula>0</formula>
    </cfRule>
  </conditionalFormatting>
  <conditionalFormatting sqref="H48">
    <cfRule type="expression" priority="171" dxfId="0" stopIfTrue="1">
      <formula>CELL("address")=ADDRESS(ROW(),COLUMN())</formula>
    </cfRule>
    <cfRule type="cellIs" priority="172" dxfId="1" operator="equal" stopIfTrue="1">
      <formula>0</formula>
    </cfRule>
  </conditionalFormatting>
  <conditionalFormatting sqref="I48">
    <cfRule type="expression" priority="177" dxfId="0" stopIfTrue="1">
      <formula>CELL("address")=ADDRESS(ROW(),COLUMN())</formula>
    </cfRule>
    <cfRule type="cellIs" priority="178" dxfId="1" operator="equal" stopIfTrue="1">
      <formula>0</formula>
    </cfRule>
  </conditionalFormatting>
  <conditionalFormatting sqref="I49">
    <cfRule type="expression" priority="745" dxfId="0" stopIfTrue="1">
      <formula>CELL("address")=ADDRESS(ROW(),COLUMN())</formula>
    </cfRule>
    <cfRule type="cellIs" priority="746" dxfId="1" operator="equal" stopIfTrue="1">
      <formula>0</formula>
    </cfRule>
  </conditionalFormatting>
  <conditionalFormatting sqref="B55">
    <cfRule type="expression" priority="687" dxfId="0" stopIfTrue="1">
      <formula>CELL("address")=ADDRESS(ROW(),COLUMN())</formula>
    </cfRule>
    <cfRule type="cellIs" priority="688" dxfId="1" operator="equal" stopIfTrue="1">
      <formula>0</formula>
    </cfRule>
  </conditionalFormatting>
  <conditionalFormatting sqref="H55">
    <cfRule type="expression" priority="7" dxfId="0" stopIfTrue="1">
      <formula>CELL("address")=ADDRESS(ROW(),COLUMN())</formula>
    </cfRule>
    <cfRule type="cellIs" priority="8" dxfId="1" operator="equal" stopIfTrue="1">
      <formula>0</formula>
    </cfRule>
  </conditionalFormatting>
  <conditionalFormatting sqref="I55">
    <cfRule type="expression" priority="9" dxfId="0" stopIfTrue="1">
      <formula>CELL("address")=ADDRESS(ROW(),COLUMN())</formula>
    </cfRule>
    <cfRule type="cellIs" priority="10" dxfId="1" operator="equal" stopIfTrue="1">
      <formula>0</formula>
    </cfRule>
  </conditionalFormatting>
  <conditionalFormatting sqref="J55">
    <cfRule type="expression" priority="11" dxfId="0" stopIfTrue="1">
      <formula>CELL("address")=ADDRESS(ROW(),COLUMN())</formula>
    </cfRule>
    <cfRule type="cellIs" priority="12" dxfId="1" operator="equal" stopIfTrue="1">
      <formula>0</formula>
    </cfRule>
  </conditionalFormatting>
  <conditionalFormatting sqref="H56">
    <cfRule type="expression" priority="13" dxfId="0" stopIfTrue="1">
      <formula>CELL("address")=ADDRESS(ROW(),COLUMN())</formula>
    </cfRule>
    <cfRule type="cellIs" priority="14" dxfId="1" operator="equal" stopIfTrue="1">
      <formula>0</formula>
    </cfRule>
  </conditionalFormatting>
  <conditionalFormatting sqref="I56">
    <cfRule type="expression" priority="15" dxfId="0" stopIfTrue="1">
      <formula>CELL("address")=ADDRESS(ROW(),COLUMN())</formula>
    </cfRule>
    <cfRule type="cellIs" priority="16" dxfId="1" operator="equal" stopIfTrue="1">
      <formula>0</formula>
    </cfRule>
  </conditionalFormatting>
  <conditionalFormatting sqref="J56">
    <cfRule type="expression" priority="17" dxfId="0" stopIfTrue="1">
      <formula>CELL("address")=ADDRESS(ROW(),COLUMN())</formula>
    </cfRule>
    <cfRule type="cellIs" priority="18" dxfId="1" operator="equal" stopIfTrue="1">
      <formula>0</formula>
    </cfRule>
  </conditionalFormatting>
  <conditionalFormatting sqref="H57">
    <cfRule type="expression" priority="19" dxfId="0" stopIfTrue="1">
      <formula>CELL("address")=ADDRESS(ROW(),COLUMN())</formula>
    </cfRule>
    <cfRule type="cellIs" priority="20" dxfId="1" operator="equal" stopIfTrue="1">
      <formula>0</formula>
    </cfRule>
  </conditionalFormatting>
  <conditionalFormatting sqref="I57">
    <cfRule type="expression" priority="21" dxfId="0" stopIfTrue="1">
      <formula>CELL("address")=ADDRESS(ROW(),COLUMN())</formula>
    </cfRule>
    <cfRule type="cellIs" priority="22" dxfId="1" operator="equal" stopIfTrue="1">
      <formula>0</formula>
    </cfRule>
  </conditionalFormatting>
  <conditionalFormatting sqref="J57">
    <cfRule type="expression" priority="23" dxfId="0" stopIfTrue="1">
      <formula>CELL("address")=ADDRESS(ROW(),COLUMN())</formula>
    </cfRule>
    <cfRule type="cellIs" priority="24" dxfId="1" operator="equal" stopIfTrue="1">
      <formula>0</formula>
    </cfRule>
  </conditionalFormatting>
  <conditionalFormatting sqref="J60">
    <cfRule type="expression" priority="105" dxfId="0" stopIfTrue="1">
      <formula>CELL("address")=ADDRESS(ROW(),COLUMN())</formula>
    </cfRule>
    <cfRule type="cellIs" priority="106" dxfId="1" operator="equal" stopIfTrue="1">
      <formula>0</formula>
    </cfRule>
  </conditionalFormatting>
  <conditionalFormatting sqref="H61">
    <cfRule type="expression" priority="101" dxfId="0" stopIfTrue="1">
      <formula>CELL("address")=ADDRESS(ROW(),COLUMN())</formula>
    </cfRule>
    <cfRule type="cellIs" priority="102" dxfId="1" operator="equal" stopIfTrue="1">
      <formula>0</formula>
    </cfRule>
  </conditionalFormatting>
  <conditionalFormatting sqref="I61">
    <cfRule type="expression" priority="103" dxfId="0" stopIfTrue="1">
      <formula>CELL("address")=ADDRESS(ROW(),COLUMN())</formula>
    </cfRule>
    <cfRule type="cellIs" priority="104" dxfId="1" operator="equal" stopIfTrue="1">
      <formula>0</formula>
    </cfRule>
  </conditionalFormatting>
  <conditionalFormatting sqref="B74">
    <cfRule type="expression" priority="123" dxfId="0" stopIfTrue="1">
      <formula>CELL("address")=ADDRESS(ROW(),COLUMN())</formula>
    </cfRule>
    <cfRule type="cellIs" priority="124" dxfId="1" operator="equal" stopIfTrue="1">
      <formula>0</formula>
    </cfRule>
  </conditionalFormatting>
  <conditionalFormatting sqref="G93">
    <cfRule type="expression" priority="117" dxfId="0" stopIfTrue="1">
      <formula>CELL("address")=ADDRESS(ROW(),COLUMN())</formula>
    </cfRule>
    <cfRule type="cellIs" priority="118" dxfId="1" operator="equal" stopIfTrue="1">
      <formula>0</formula>
    </cfRule>
    <cfRule type="expression" priority="119" dxfId="0" stopIfTrue="1">
      <formula>CELL("address")=ADDRESS(ROW(),COLUMN())</formula>
    </cfRule>
    <cfRule type="cellIs" priority="120" dxfId="1" operator="equal" stopIfTrue="1">
      <formula>0</formula>
    </cfRule>
  </conditionalFormatting>
  <conditionalFormatting sqref="B95">
    <cfRule type="expression" priority="677" dxfId="0" stopIfTrue="1">
      <formula>CELL("address")=ADDRESS(ROW(),COLUMN())</formula>
    </cfRule>
    <cfRule type="cellIs" priority="678" dxfId="1" operator="equal" stopIfTrue="1">
      <formula>0</formula>
    </cfRule>
  </conditionalFormatting>
  <conditionalFormatting sqref="B96">
    <cfRule type="expression" priority="111" dxfId="0" stopIfTrue="1">
      <formula>CELL("address")=ADDRESS(ROW(),COLUMN())</formula>
    </cfRule>
    <cfRule type="cellIs" priority="112" dxfId="1" operator="equal" stopIfTrue="1">
      <formula>0</formula>
    </cfRule>
  </conditionalFormatting>
  <conditionalFormatting sqref="I97">
    <cfRule type="expression" priority="509" dxfId="0" stopIfTrue="1">
      <formula>CELL("address")=ADDRESS(ROW(),COLUMN())</formula>
    </cfRule>
    <cfRule type="cellIs" priority="510" dxfId="1" operator="equal" stopIfTrue="1">
      <formula>0</formula>
    </cfRule>
  </conditionalFormatting>
  <conditionalFormatting sqref="G55:G57">
    <cfRule type="expression" priority="5" dxfId="0" stopIfTrue="1">
      <formula>CELL("address")=ADDRESS(ROW(),COLUMN())</formula>
    </cfRule>
    <cfRule type="cellIs" priority="6" dxfId="1" operator="equal" stopIfTrue="1">
      <formula>0</formula>
    </cfRule>
  </conditionalFormatting>
  <conditionalFormatting sqref="G73:G74">
    <cfRule type="expression" priority="121" dxfId="0" stopIfTrue="1">
      <formula>CELL("address")=ADDRESS(ROW(),COLUMN())</formula>
    </cfRule>
    <cfRule type="cellIs" priority="122" dxfId="1" operator="equal" stopIfTrue="1">
      <formula>0</formula>
    </cfRule>
  </conditionalFormatting>
  <conditionalFormatting sqref="H28:H30">
    <cfRule type="expression" priority="273" dxfId="0" stopIfTrue="1">
      <formula>CELL("address")=ADDRESS(ROW(),COLUMN())</formula>
    </cfRule>
    <cfRule type="cellIs" priority="274" dxfId="1" operator="equal" stopIfTrue="1">
      <formula>0</formula>
    </cfRule>
  </conditionalFormatting>
  <conditionalFormatting sqref="I14:I15">
    <cfRule type="expression" priority="149" dxfId="0" stopIfTrue="1">
      <formula>CELL("address")=ADDRESS(ROW(),COLUMN())</formula>
    </cfRule>
    <cfRule type="cellIs" priority="150" dxfId="1" operator="equal" stopIfTrue="1">
      <formula>0</formula>
    </cfRule>
  </conditionalFormatting>
  <conditionalFormatting sqref="I100:I104">
    <cfRule type="expression" priority="507" dxfId="0" stopIfTrue="1">
      <formula>CELL("address")=ADDRESS(ROW(),COLUMN())</formula>
    </cfRule>
    <cfRule type="cellIs" priority="508" dxfId="1" operator="equal" stopIfTrue="1">
      <formula>0</formula>
    </cfRule>
  </conditionalFormatting>
  <conditionalFormatting sqref="J52:J54">
    <cfRule type="expression" priority="125" dxfId="0" stopIfTrue="1">
      <formula>CELL("address")=ADDRESS(ROW(),COLUMN())</formula>
    </cfRule>
    <cfRule type="cellIs" priority="126" dxfId="1" operator="equal" stopIfTrue="1">
      <formula>0</formula>
    </cfRule>
  </conditionalFormatting>
  <conditionalFormatting sqref="K7:IV10 A9:A11 B9:I10 A1:IV5 J6:IV6 A7:I8 A6:H6 K13:IV13 A13:G13 J100:IV104 A49:H49 A56:F57 A100:H104 A106:F107 I106:IV107 A62:IV72 A58:I59 A61:G61 A55 C55:F55 A50:IV51 A108:IV65536 A52:I52 K52:IV52 J49:IV49 A98:IV99 A105:IV105 J97:IV97 A97:H97 K54:IV59 K61:IV61 A54:I54 A75:IV92 A74 C74:F74 A73:F73 H73:IV74">
    <cfRule type="expression" priority="949" dxfId="0" stopIfTrue="1">
      <formula>CELL("address")=ADDRESS(ROW(),COLUMN())</formula>
    </cfRule>
    <cfRule type="cellIs" priority="950" dxfId="1" operator="equal" stopIfTrue="1">
      <formula>0</formula>
    </cfRule>
  </conditionalFormatting>
  <conditionalFormatting sqref="J7:J11 J13:J19 J21:J48">
    <cfRule type="expression" priority="109" dxfId="0" stopIfTrue="1">
      <formula>CELL("address")=ADDRESS(ROW(),COLUMN())</formula>
    </cfRule>
    <cfRule type="cellIs" priority="110" dxfId="1" operator="equal" stopIfTrue="1">
      <formula>0</formula>
    </cfRule>
  </conditionalFormatting>
  <conditionalFormatting sqref="K11:IV11 B11:G11">
    <cfRule type="expression" priority="407" dxfId="0" stopIfTrue="1">
      <formula>CELL("address")=ADDRESS(ROW(),COLUMN())</formula>
    </cfRule>
    <cfRule type="cellIs" priority="408" dxfId="1" operator="equal" stopIfTrue="1">
      <formula>0</formula>
    </cfRule>
  </conditionalFormatting>
  <conditionalFormatting sqref="A12:G12 K12:IV12">
    <cfRule type="expression" priority="85" dxfId="0" stopIfTrue="1">
      <formula>CELL("address")=ADDRESS(ROW(),COLUMN())</formula>
    </cfRule>
    <cfRule type="cellIs" priority="86" dxfId="1" operator="equal" stopIfTrue="1">
      <formula>0</formula>
    </cfRule>
  </conditionalFormatting>
  <conditionalFormatting sqref="K14:IV14 H14 A14:F14 K17:IV17 B17:H17">
    <cfRule type="expression" priority="487" dxfId="0" stopIfTrue="1">
      <formula>CELL("address")=ADDRESS(ROW(),COLUMN())</formula>
    </cfRule>
    <cfRule type="cellIs" priority="488" dxfId="1" operator="equal" stopIfTrue="1">
      <formula>0</formula>
    </cfRule>
  </conditionalFormatting>
  <conditionalFormatting sqref="A15:H15 K15:IV15">
    <cfRule type="expression" priority="485" dxfId="0" stopIfTrue="1">
      <formula>CELL("address")=ADDRESS(ROW(),COLUMN())</formula>
    </cfRule>
    <cfRule type="cellIs" priority="486" dxfId="1" operator="equal" stopIfTrue="1">
      <formula>0</formula>
    </cfRule>
  </conditionalFormatting>
  <conditionalFormatting sqref="A16:H16 A17 K16:IV16">
    <cfRule type="expression" priority="441" dxfId="0" stopIfTrue="1">
      <formula>CELL("address")=ADDRESS(ROW(),COLUMN())</formula>
    </cfRule>
    <cfRule type="cellIs" priority="442" dxfId="1" operator="equal" stopIfTrue="1">
      <formula>0</formula>
    </cfRule>
  </conditionalFormatting>
  <conditionalFormatting sqref="K18:IV18 H18 A18:F18">
    <cfRule type="expression" priority="395" dxfId="0" stopIfTrue="1">
      <formula>CELL("address")=ADDRESS(ROW(),COLUMN())</formula>
    </cfRule>
    <cfRule type="cellIs" priority="396" dxfId="1" operator="equal" stopIfTrue="1">
      <formula>0</formula>
    </cfRule>
  </conditionalFormatting>
  <conditionalFormatting sqref="A19:G19 K19:IV19">
    <cfRule type="expression" priority="373" dxfId="0" stopIfTrue="1">
      <formula>CELL("address")=ADDRESS(ROW(),COLUMN())</formula>
    </cfRule>
    <cfRule type="cellIs" priority="374" dxfId="1" operator="equal" stopIfTrue="1">
      <formula>0</formula>
    </cfRule>
  </conditionalFormatting>
  <conditionalFormatting sqref="A20:G20 K20:IV20">
    <cfRule type="expression" priority="97" dxfId="0" stopIfTrue="1">
      <formula>CELL("address")=ADDRESS(ROW(),COLUMN())</formula>
    </cfRule>
    <cfRule type="cellIs" priority="98" dxfId="1" operator="equal" stopIfTrue="1">
      <formula>0</formula>
    </cfRule>
  </conditionalFormatting>
  <conditionalFormatting sqref="K21:IV21 B21:F21 H21">
    <cfRule type="expression" priority="365" dxfId="0" stopIfTrue="1">
      <formula>CELL("address")=ADDRESS(ROW(),COLUMN())</formula>
    </cfRule>
    <cfRule type="cellIs" priority="366" dxfId="1" operator="equal" stopIfTrue="1">
      <formula>0</formula>
    </cfRule>
  </conditionalFormatting>
  <conditionalFormatting sqref="A22:G22 K22:IV22">
    <cfRule type="expression" priority="357" dxfId="0" stopIfTrue="1">
      <formula>CELL("address")=ADDRESS(ROW(),COLUMN())</formula>
    </cfRule>
    <cfRule type="cellIs" priority="358" dxfId="1" operator="equal" stopIfTrue="1">
      <formula>0</formula>
    </cfRule>
  </conditionalFormatting>
  <conditionalFormatting sqref="A23:G23 K23:IV23">
    <cfRule type="expression" priority="349" dxfId="0" stopIfTrue="1">
      <formula>CELL("address")=ADDRESS(ROW(),COLUMN())</formula>
    </cfRule>
    <cfRule type="cellIs" priority="350" dxfId="1" operator="equal" stopIfTrue="1">
      <formula>0</formula>
    </cfRule>
  </conditionalFormatting>
  <conditionalFormatting sqref="A24:G24 K24:IV24">
    <cfRule type="expression" priority="363" dxfId="0" stopIfTrue="1">
      <formula>CELL("address")=ADDRESS(ROW(),COLUMN())</formula>
    </cfRule>
    <cfRule type="cellIs" priority="364" dxfId="1" operator="equal" stopIfTrue="1">
      <formula>0</formula>
    </cfRule>
  </conditionalFormatting>
  <conditionalFormatting sqref="K25:IV25 B25:F25 H25">
    <cfRule type="expression" priority="341" dxfId="0" stopIfTrue="1">
      <formula>CELL("address")=ADDRESS(ROW(),COLUMN())</formula>
    </cfRule>
    <cfRule type="cellIs" priority="342" dxfId="1" operator="equal" stopIfTrue="1">
      <formula>0</formula>
    </cfRule>
  </conditionalFormatting>
  <conditionalFormatting sqref="A26:G26 K26:IV26 A28 A30">
    <cfRule type="expression" priority="333" dxfId="0" stopIfTrue="1">
      <formula>CELL("address")=ADDRESS(ROW(),COLUMN())</formula>
    </cfRule>
    <cfRule type="cellIs" priority="334" dxfId="1" operator="equal" stopIfTrue="1">
      <formula>0</formula>
    </cfRule>
  </conditionalFormatting>
  <conditionalFormatting sqref="A27:G27 K27:IV27 A29">
    <cfRule type="expression" priority="325" dxfId="0" stopIfTrue="1">
      <formula>CELL("address")=ADDRESS(ROW(),COLUMN())</formula>
    </cfRule>
    <cfRule type="cellIs" priority="326" dxfId="1" operator="equal" stopIfTrue="1">
      <formula>0</formula>
    </cfRule>
  </conditionalFormatting>
  <conditionalFormatting sqref="B28:G28 K28:IV28">
    <cfRule type="expression" priority="309" dxfId="0" stopIfTrue="1">
      <formula>CELL("address")=ADDRESS(ROW(),COLUMN())</formula>
    </cfRule>
    <cfRule type="cellIs" priority="310" dxfId="1" operator="equal" stopIfTrue="1">
      <formula>0</formula>
    </cfRule>
  </conditionalFormatting>
  <conditionalFormatting sqref="B29:G29 K29:IV29">
    <cfRule type="expression" priority="315" dxfId="0" stopIfTrue="1">
      <formula>CELL("address")=ADDRESS(ROW(),COLUMN())</formula>
    </cfRule>
    <cfRule type="cellIs" priority="316" dxfId="1" operator="equal" stopIfTrue="1">
      <formula>0</formula>
    </cfRule>
  </conditionalFormatting>
  <conditionalFormatting sqref="B30:G30 K30:IV30">
    <cfRule type="expression" priority="339" dxfId="0" stopIfTrue="1">
      <formula>CELL("address")=ADDRESS(ROW(),COLUMN())</formula>
    </cfRule>
    <cfRule type="cellIs" priority="340" dxfId="1" operator="equal" stopIfTrue="1">
      <formula>0</formula>
    </cfRule>
  </conditionalFormatting>
  <conditionalFormatting sqref="K31:IV31 B31:F31 H31">
    <cfRule type="expression" priority="303" dxfId="0" stopIfTrue="1">
      <formula>CELL("address")=ADDRESS(ROW(),COLUMN())</formula>
    </cfRule>
    <cfRule type="cellIs" priority="304" dxfId="1" operator="equal" stopIfTrue="1">
      <formula>0</formula>
    </cfRule>
  </conditionalFormatting>
  <conditionalFormatting sqref="A32:G32 K32:IV32">
    <cfRule type="expression" priority="295" dxfId="0" stopIfTrue="1">
      <formula>CELL("address")=ADDRESS(ROW(),COLUMN())</formula>
    </cfRule>
    <cfRule type="cellIs" priority="296" dxfId="1" operator="equal" stopIfTrue="1">
      <formula>0</formula>
    </cfRule>
  </conditionalFormatting>
  <conditionalFormatting sqref="A33:G33 K33:IV33">
    <cfRule type="expression" priority="287" dxfId="0" stopIfTrue="1">
      <formula>CELL("address")=ADDRESS(ROW(),COLUMN())</formula>
    </cfRule>
    <cfRule type="cellIs" priority="288" dxfId="1" operator="equal" stopIfTrue="1">
      <formula>0</formula>
    </cfRule>
  </conditionalFormatting>
  <conditionalFormatting sqref="A34:G34 K34:IV34">
    <cfRule type="expression" priority="301" dxfId="0" stopIfTrue="1">
      <formula>CELL("address")=ADDRESS(ROW(),COLUMN())</formula>
    </cfRule>
    <cfRule type="cellIs" priority="302" dxfId="1" operator="equal" stopIfTrue="1">
      <formula>0</formula>
    </cfRule>
  </conditionalFormatting>
  <conditionalFormatting sqref="K35:IV35 B35:F35 H35">
    <cfRule type="expression" priority="265" dxfId="0" stopIfTrue="1">
      <formula>CELL("address")=ADDRESS(ROW(),COLUMN())</formula>
    </cfRule>
    <cfRule type="cellIs" priority="266" dxfId="1" operator="equal" stopIfTrue="1">
      <formula>0</formula>
    </cfRule>
  </conditionalFormatting>
  <conditionalFormatting sqref="A36:G36 K36:IV36">
    <cfRule type="expression" priority="257" dxfId="0" stopIfTrue="1">
      <formula>CELL("address")=ADDRESS(ROW(),COLUMN())</formula>
    </cfRule>
    <cfRule type="cellIs" priority="258" dxfId="1" operator="equal" stopIfTrue="1">
      <formula>0</formula>
    </cfRule>
  </conditionalFormatting>
  <conditionalFormatting sqref="A37:G37 K37:IV37">
    <cfRule type="expression" priority="251" dxfId="0" stopIfTrue="1">
      <formula>CELL("address")=ADDRESS(ROW(),COLUMN())</formula>
    </cfRule>
    <cfRule type="cellIs" priority="252" dxfId="1" operator="equal" stopIfTrue="1">
      <formula>0</formula>
    </cfRule>
  </conditionalFormatting>
  <conditionalFormatting sqref="K38:IV38 B38:F38 H38">
    <cfRule type="expression" priority="227" dxfId="0" stopIfTrue="1">
      <formula>CELL("address")=ADDRESS(ROW(),COLUMN())</formula>
    </cfRule>
    <cfRule type="cellIs" priority="228" dxfId="1" operator="equal" stopIfTrue="1">
      <formula>0</formula>
    </cfRule>
  </conditionalFormatting>
  <conditionalFormatting sqref="A39:G39 K39:IV39">
    <cfRule type="expression" priority="223" dxfId="0" stopIfTrue="1">
      <formula>CELL("address")=ADDRESS(ROW(),COLUMN())</formula>
    </cfRule>
    <cfRule type="cellIs" priority="224" dxfId="1" operator="equal" stopIfTrue="1">
      <formula>0</formula>
    </cfRule>
  </conditionalFormatting>
  <conditionalFormatting sqref="A40:G40 K40:IV40">
    <cfRule type="expression" priority="219" dxfId="0" stopIfTrue="1">
      <formula>CELL("address")=ADDRESS(ROW(),COLUMN())</formula>
    </cfRule>
    <cfRule type="cellIs" priority="220" dxfId="1" operator="equal" stopIfTrue="1">
      <formula>0</formula>
    </cfRule>
  </conditionalFormatting>
  <conditionalFormatting sqref="K41:IV41 B41:F41 H41">
    <cfRule type="expression" priority="207" dxfId="0" stopIfTrue="1">
      <formula>CELL("address")=ADDRESS(ROW(),COLUMN())</formula>
    </cfRule>
    <cfRule type="cellIs" priority="208" dxfId="1" operator="equal" stopIfTrue="1">
      <formula>0</formula>
    </cfRule>
  </conditionalFormatting>
  <conditionalFormatting sqref="A42:G42 K42:IV42">
    <cfRule type="expression" priority="203" dxfId="0" stopIfTrue="1">
      <formula>CELL("address")=ADDRESS(ROW(),COLUMN())</formula>
    </cfRule>
    <cfRule type="cellIs" priority="204" dxfId="1" operator="equal" stopIfTrue="1">
      <formula>0</formula>
    </cfRule>
  </conditionalFormatting>
  <conditionalFormatting sqref="A43:G43 K43:IV43">
    <cfRule type="expression" priority="199" dxfId="0" stopIfTrue="1">
      <formula>CELL("address")=ADDRESS(ROW(),COLUMN())</formula>
    </cfRule>
    <cfRule type="cellIs" priority="200" dxfId="1" operator="equal" stopIfTrue="1">
      <formula>0</formula>
    </cfRule>
  </conditionalFormatting>
  <conditionalFormatting sqref="K44:IV44 B44:F44 H44">
    <cfRule type="expression" priority="187" dxfId="0" stopIfTrue="1">
      <formula>CELL("address")=ADDRESS(ROW(),COLUMN())</formula>
    </cfRule>
    <cfRule type="cellIs" priority="188" dxfId="1" operator="equal" stopIfTrue="1">
      <formula>0</formula>
    </cfRule>
  </conditionalFormatting>
  <conditionalFormatting sqref="A45:G45 K45:IV45 A47">
    <cfRule type="expression" priority="183" dxfId="0" stopIfTrue="1">
      <formula>CELL("address")=ADDRESS(ROW(),COLUMN())</formula>
    </cfRule>
    <cfRule type="cellIs" priority="184" dxfId="1" operator="equal" stopIfTrue="1">
      <formula>0</formula>
    </cfRule>
  </conditionalFormatting>
  <conditionalFormatting sqref="A46:G46 K46:IV46 A48">
    <cfRule type="expression" priority="161" dxfId="0" stopIfTrue="1">
      <formula>CELL("address")=ADDRESS(ROW(),COLUMN())</formula>
    </cfRule>
    <cfRule type="cellIs" priority="162" dxfId="1" operator="equal" stopIfTrue="1">
      <formula>0</formula>
    </cfRule>
  </conditionalFormatting>
  <conditionalFormatting sqref="B47:G47 K47:IV47">
    <cfRule type="expression" priority="167" dxfId="0" stopIfTrue="1">
      <formula>CELL("address")=ADDRESS(ROW(),COLUMN())</formula>
    </cfRule>
    <cfRule type="cellIs" priority="168" dxfId="1" operator="equal" stopIfTrue="1">
      <formula>0</formula>
    </cfRule>
  </conditionalFormatting>
  <conditionalFormatting sqref="B48:G48 K48:IV48">
    <cfRule type="expression" priority="179" dxfId="0" stopIfTrue="1">
      <formula>CELL("address")=ADDRESS(ROW(),COLUMN())</formula>
    </cfRule>
    <cfRule type="cellIs" priority="180" dxfId="1" operator="equal" stopIfTrue="1">
      <formula>0</formula>
    </cfRule>
  </conditionalFormatting>
  <conditionalFormatting sqref="A53:I53 K53:IV53">
    <cfRule type="expression" priority="131" dxfId="0" stopIfTrue="1">
      <formula>CELL("address")=ADDRESS(ROW(),COLUMN())</formula>
    </cfRule>
    <cfRule type="cellIs" priority="132" dxfId="1" operator="equal" stopIfTrue="1">
      <formula>0</formula>
    </cfRule>
  </conditionalFormatting>
  <conditionalFormatting sqref="J58:J59 J61">
    <cfRule type="expression" priority="129" dxfId="0" stopIfTrue="1">
      <formula>CELL("address")=ADDRESS(ROW(),COLUMN())</formula>
    </cfRule>
    <cfRule type="cellIs" priority="130" dxfId="1" operator="equal" stopIfTrue="1">
      <formula>0</formula>
    </cfRule>
  </conditionalFormatting>
  <conditionalFormatting sqref="A60:I60 K60:IV60">
    <cfRule type="expression" priority="107" dxfId="0" stopIfTrue="1">
      <formula>CELL("address")=ADDRESS(ROW(),COLUMN())</formula>
    </cfRule>
    <cfRule type="cellIs" priority="108" dxfId="1" operator="equal" stopIfTrue="1">
      <formula>0</formula>
    </cfRule>
  </conditionalFormatting>
  <conditionalFormatting sqref="A93:F93 H93:IV93">
    <cfRule type="expression" priority="679" dxfId="0" stopIfTrue="1">
      <formula>CELL("address")=ADDRESS(ROW(),COLUMN())</formula>
    </cfRule>
    <cfRule type="cellIs" priority="680" dxfId="1" operator="equal" stopIfTrue="1">
      <formula>0</formula>
    </cfRule>
  </conditionalFormatting>
  <conditionalFormatting sqref="A94:IV94 A95 C95:IV95">
    <cfRule type="expression" priority="845" dxfId="0" stopIfTrue="1">
      <formula>CELL("address")=ADDRESS(ROW(),COLUMN())</formula>
    </cfRule>
    <cfRule type="cellIs" priority="846" dxfId="1" operator="equal" stopIfTrue="1">
      <formula>0</formula>
    </cfRule>
  </conditionalFormatting>
  <conditionalFormatting sqref="A96 C96:IV96">
    <cfRule type="expression" priority="115" dxfId="0" stopIfTrue="1">
      <formula>CELL("address")=ADDRESS(ROW(),COLUMN())</formula>
    </cfRule>
    <cfRule type="cellIs" priority="116" dxfId="1" operator="equal" stopIfTrue="1">
      <formula>0</formula>
    </cfRule>
  </conditionalFormatting>
  <dataValidations count="6">
    <dataValidation type="list" allowBlank="1" showInputMessage="1" showErrorMessage="1" sqref="D2">
      <formula1>"估,概"</formula1>
    </dataValidation>
    <dataValidation type="list" allowBlank="1" showInputMessage="1" showErrorMessage="1" sqref="M54:M55">
      <formula1>"1000000,400000,30000"</formula1>
    </dataValidation>
    <dataValidation type="list" allowBlank="1" showInputMessage="1" showErrorMessage="1" sqref="B62">
      <formula1>"建设单位管理费,项目代建管理费(全阶段),项目代建管理费(前期),项目代建管理费(实施阶段)"</formula1>
    </dataValidation>
    <dataValidation type="list" allowBlank="1" showInputMessage="1" showErrorMessage="1" sqref="B101">
      <formula1>"建设期贷款利息,建设期融资费用"</formula1>
    </dataValidation>
    <dataValidation type="list" allowBlank="1" showInputMessage="1" showErrorMessage="1" sqref="H104 H5:H20 H21:H100">
      <formula1>"m,m³,㎡,㎞,t,m³/d,L/s,根,t/d,套,座,处,台,盏,棵,亩,口,个"</formula1>
    </dataValidation>
    <dataValidation type="list" allowBlank="1" showInputMessage="1" showErrorMessage="1" sqref="H101:H103">
      <formula1>"m,m³,㎡,㎞,t,m³/d,L/s,t/d,系统,辆,项,个,套,座,处,台,盏,棵,亩,口"</formula1>
    </dataValidation>
  </dataValidations>
  <printOptions horizontalCentered="1"/>
  <pageMargins left="0.2755905511811024" right="0.2755905511811024" top="1.141732283464567" bottom="0.5905511811023623" header="0.4724409448818898" footer="0.35433070866141736"/>
  <pageSetup fitToHeight="0" fitToWidth="1" horizontalDpi="600" verticalDpi="600" orientation="portrait" paperSize="9" scale="65"/>
  <headerFooter alignWithMargins="0">
    <oddHeader>&amp;L&amp;12
 &amp;"宋体,常规"建设项目名称：闽清县老旧小区洋桃片区改造工程&amp;C&amp;"黑体,常规"&amp;20工程总概算表&amp;R&amp;"Times New Roman,常规"
&amp;"宋体,常规"
第&amp;"Times New Roman,常规"&amp;P&amp;"宋体,常规"页，共&amp;"Times New Roman,常规"&amp;N&amp;"宋体,常规"页，&amp;"Times New Roman,常规"01&amp;"宋体,常规"表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C18" sqref="C18"/>
    </sheetView>
  </sheetViews>
  <sheetFormatPr defaultColWidth="10.28125" defaultRowHeight="12.75"/>
  <cols>
    <col min="1" max="1" width="4.7109375" style="75" customWidth="1"/>
    <col min="2" max="2" width="34.28125" style="76" customWidth="1"/>
    <col min="3" max="3" width="48.00390625" style="76" customWidth="1"/>
    <col min="4" max="4" width="10.57421875" style="75" customWidth="1"/>
    <col min="5" max="5" width="37.57421875" style="76" customWidth="1"/>
    <col min="6" max="6" width="33.57421875" style="76" customWidth="1"/>
    <col min="7" max="16384" width="10.28125" style="76" customWidth="1"/>
  </cols>
  <sheetData>
    <row r="1" spans="1:6" ht="6" customHeight="1">
      <c r="A1" s="78"/>
      <c r="B1" s="79"/>
      <c r="C1" s="79"/>
      <c r="D1" s="78"/>
      <c r="E1" s="79"/>
      <c r="F1" s="79"/>
    </row>
    <row r="2" spans="1:6" ht="27" customHeight="1">
      <c r="A2" s="81" t="s">
        <v>0</v>
      </c>
      <c r="B2" s="81" t="s">
        <v>142</v>
      </c>
      <c r="C2" s="82" t="s">
        <v>143</v>
      </c>
      <c r="D2" s="81" t="s">
        <v>144</v>
      </c>
      <c r="E2" s="82" t="s">
        <v>145</v>
      </c>
      <c r="F2" s="107"/>
    </row>
    <row r="3" spans="1:6" ht="18" customHeight="1" hidden="1">
      <c r="A3" s="81">
        <v>1</v>
      </c>
      <c r="B3" s="84" t="s">
        <v>79</v>
      </c>
      <c r="C3" s="85"/>
      <c r="D3" s="108">
        <f>'表1'!G51</f>
        <v>773.4</v>
      </c>
      <c r="E3" s="85"/>
      <c r="F3" s="107"/>
    </row>
    <row r="4" spans="1:6" ht="18" customHeight="1">
      <c r="A4" s="81">
        <v>1</v>
      </c>
      <c r="B4" s="89" t="s">
        <v>90</v>
      </c>
      <c r="C4" s="109" t="s">
        <v>146</v>
      </c>
      <c r="D4" s="108">
        <f>建设单位管理费</f>
        <v>64.12475</v>
      </c>
      <c r="E4" s="90" t="s">
        <v>147</v>
      </c>
      <c r="F4" s="107"/>
    </row>
    <row r="5" spans="1:6" ht="27.75" customHeight="1">
      <c r="A5" s="81">
        <v>2</v>
      </c>
      <c r="B5" s="84" t="s">
        <v>91</v>
      </c>
      <c r="C5" s="85" t="s">
        <v>148</v>
      </c>
      <c r="D5" s="108">
        <f>'表1'!G63</f>
        <v>72.82359295999998</v>
      </c>
      <c r="E5" s="85" t="s">
        <v>149</v>
      </c>
      <c r="F5" s="107"/>
    </row>
    <row r="6" spans="1:6" ht="18" customHeight="1" hidden="1">
      <c r="A6" s="81">
        <v>3</v>
      </c>
      <c r="B6" s="84" t="s">
        <v>150</v>
      </c>
      <c r="C6" s="85"/>
      <c r="D6" s="108">
        <v>0</v>
      </c>
      <c r="E6" s="92" t="s">
        <v>151</v>
      </c>
      <c r="F6" s="93"/>
    </row>
    <row r="7" spans="1:6" ht="26.25" customHeight="1">
      <c r="A7" s="81">
        <v>3</v>
      </c>
      <c r="B7" s="84" t="s">
        <v>92</v>
      </c>
      <c r="C7" s="85" t="s">
        <v>152</v>
      </c>
      <c r="D7" s="108">
        <f>'表1'!G64</f>
        <v>0</v>
      </c>
      <c r="E7" s="85" t="s">
        <v>153</v>
      </c>
      <c r="F7" s="107"/>
    </row>
    <row r="8" spans="1:6" ht="18" customHeight="1">
      <c r="A8" s="81">
        <v>4</v>
      </c>
      <c r="B8" s="84" t="s">
        <v>93</v>
      </c>
      <c r="C8" s="85" t="s">
        <v>154</v>
      </c>
      <c r="D8" s="108">
        <f>'表1'!G65</f>
        <v>21.940118559999995</v>
      </c>
      <c r="E8" s="85" t="s">
        <v>155</v>
      </c>
      <c r="F8" s="107"/>
    </row>
    <row r="9" spans="1:6" ht="27" customHeight="1">
      <c r="A9" s="81">
        <v>5</v>
      </c>
      <c r="B9" s="84" t="s">
        <v>94</v>
      </c>
      <c r="C9" s="85" t="s">
        <v>156</v>
      </c>
      <c r="D9" s="108">
        <f>'表1'!G66</f>
        <v>16.542244031999996</v>
      </c>
      <c r="E9" s="85" t="s">
        <v>157</v>
      </c>
      <c r="F9" s="107"/>
    </row>
    <row r="10" spans="1:6" ht="18" customHeight="1" hidden="1">
      <c r="A10" s="81">
        <v>6</v>
      </c>
      <c r="B10" s="84" t="s">
        <v>95</v>
      </c>
      <c r="C10" s="85"/>
      <c r="D10" s="108">
        <v>0</v>
      </c>
      <c r="E10" s="92" t="s">
        <v>158</v>
      </c>
      <c r="F10" s="93"/>
    </row>
    <row r="11" spans="1:6" ht="18" customHeight="1">
      <c r="A11" s="81">
        <v>6</v>
      </c>
      <c r="B11" s="84" t="s">
        <v>96</v>
      </c>
      <c r="C11" s="85" t="s">
        <v>159</v>
      </c>
      <c r="D11" s="108">
        <f>勘察费</f>
        <v>22.647864319999996</v>
      </c>
      <c r="E11" s="85" t="s">
        <v>160</v>
      </c>
      <c r="F11" s="107"/>
    </row>
    <row r="12" spans="1:6" ht="27" customHeight="1">
      <c r="A12" s="81">
        <v>7</v>
      </c>
      <c r="B12" s="84" t="s">
        <v>97</v>
      </c>
      <c r="C12" s="85" t="s">
        <v>161</v>
      </c>
      <c r="D12" s="108">
        <f>'表1'!G69</f>
        <v>59.99440021999999</v>
      </c>
      <c r="E12" s="85" t="s">
        <v>162</v>
      </c>
      <c r="F12" s="107"/>
    </row>
    <row r="13" spans="1:6" ht="9.75" customHeight="1" hidden="1">
      <c r="A13" s="81">
        <v>9</v>
      </c>
      <c r="B13" s="84" t="s">
        <v>98</v>
      </c>
      <c r="C13" s="85"/>
      <c r="D13" s="108">
        <f>'表1'!G70</f>
        <v>0</v>
      </c>
      <c r="E13" s="85" t="s">
        <v>163</v>
      </c>
      <c r="F13" s="107"/>
    </row>
    <row r="14" spans="1:6" ht="18" customHeight="1">
      <c r="A14" s="81">
        <v>8</v>
      </c>
      <c r="B14" s="84" t="s">
        <v>99</v>
      </c>
      <c r="C14" s="85" t="s">
        <v>164</v>
      </c>
      <c r="D14" s="108">
        <f>'表1'!G71</f>
        <v>0</v>
      </c>
      <c r="E14" s="85" t="s">
        <v>165</v>
      </c>
      <c r="F14" s="107"/>
    </row>
    <row r="15" spans="1:6" ht="25.5" customHeight="1">
      <c r="A15" s="81">
        <v>9</v>
      </c>
      <c r="B15" s="84" t="s">
        <v>100</v>
      </c>
      <c r="C15" s="85" t="s">
        <v>166</v>
      </c>
      <c r="D15" s="108">
        <f>'表1'!G72</f>
        <v>6.266195407058824</v>
      </c>
      <c r="E15" s="85" t="s">
        <v>167</v>
      </c>
      <c r="F15" s="107"/>
    </row>
    <row r="16" spans="1:6" ht="18" customHeight="1" hidden="1">
      <c r="A16" s="81">
        <v>10</v>
      </c>
      <c r="B16" s="84" t="s">
        <v>101</v>
      </c>
      <c r="C16" s="85"/>
      <c r="D16" s="108">
        <f>'表1'!G73</f>
        <v>0.9114289999999999</v>
      </c>
      <c r="E16" s="85" t="s">
        <v>168</v>
      </c>
      <c r="F16" s="107"/>
    </row>
    <row r="17" spans="1:6" ht="18" customHeight="1" hidden="1">
      <c r="A17" s="81">
        <v>12</v>
      </c>
      <c r="B17" s="84" t="s">
        <v>169</v>
      </c>
      <c r="C17" s="85"/>
      <c r="D17" s="108">
        <v>0</v>
      </c>
      <c r="E17" s="85" t="s">
        <v>170</v>
      </c>
      <c r="F17" s="107"/>
    </row>
    <row r="18" spans="1:6" ht="18" customHeight="1">
      <c r="A18" s="81">
        <v>10</v>
      </c>
      <c r="B18" s="84" t="s">
        <v>103</v>
      </c>
      <c r="C18" s="85" t="s">
        <v>171</v>
      </c>
      <c r="D18" s="108">
        <f>'表1'!G75</f>
        <v>3.5387287999999995</v>
      </c>
      <c r="E18" s="85" t="s">
        <v>172</v>
      </c>
      <c r="F18" s="107"/>
    </row>
    <row r="19" spans="1:6" ht="18" customHeight="1">
      <c r="A19" s="81">
        <v>11</v>
      </c>
      <c r="B19" s="84" t="s">
        <v>104</v>
      </c>
      <c r="C19" s="85" t="s">
        <v>173</v>
      </c>
      <c r="D19" s="108">
        <f>'表1'!G76</f>
        <v>17.693644</v>
      </c>
      <c r="E19" s="85" t="s">
        <v>174</v>
      </c>
      <c r="F19" s="107"/>
    </row>
    <row r="20" spans="1:6" ht="18" customHeight="1">
      <c r="A20" s="81">
        <v>12</v>
      </c>
      <c r="B20" s="84" t="s">
        <v>105</v>
      </c>
      <c r="C20" s="85" t="s">
        <v>175</v>
      </c>
      <c r="D20" s="108">
        <f>'表1'!G77</f>
        <v>10.616186399999998</v>
      </c>
      <c r="E20" s="85" t="s">
        <v>176</v>
      </c>
      <c r="F20" s="107"/>
    </row>
    <row r="21" spans="1:6" ht="18" customHeight="1" hidden="1">
      <c r="A21" s="81">
        <v>15</v>
      </c>
      <c r="B21" s="84" t="s">
        <v>106</v>
      </c>
      <c r="C21" s="85"/>
      <c r="D21" s="108">
        <v>0</v>
      </c>
      <c r="E21" s="96" t="s">
        <v>177</v>
      </c>
      <c r="F21" s="97"/>
    </row>
    <row r="22" spans="1:6" ht="18" customHeight="1" hidden="1">
      <c r="A22" s="81">
        <v>15</v>
      </c>
      <c r="B22" s="84" t="s">
        <v>107</v>
      </c>
      <c r="C22" s="85"/>
      <c r="D22" s="108">
        <v>0</v>
      </c>
      <c r="E22" s="96" t="s">
        <v>178</v>
      </c>
      <c r="F22" s="97"/>
    </row>
    <row r="23" spans="1:6" ht="18" customHeight="1" hidden="1">
      <c r="A23" s="81">
        <v>15</v>
      </c>
      <c r="B23" s="84" t="s">
        <v>108</v>
      </c>
      <c r="C23" s="85"/>
      <c r="D23" s="108">
        <v>0</v>
      </c>
      <c r="E23" s="96" t="s">
        <v>179</v>
      </c>
      <c r="F23" s="97"/>
    </row>
    <row r="24" spans="1:6" ht="18" customHeight="1" hidden="1">
      <c r="A24" s="81">
        <v>15</v>
      </c>
      <c r="B24" s="84" t="s">
        <v>109</v>
      </c>
      <c r="C24" s="85"/>
      <c r="D24" s="108">
        <v>0</v>
      </c>
      <c r="E24" s="92" t="s">
        <v>180</v>
      </c>
      <c r="F24" s="93"/>
    </row>
    <row r="25" spans="1:6" ht="18" customHeight="1" hidden="1">
      <c r="A25" s="81">
        <v>15</v>
      </c>
      <c r="B25" s="84" t="s">
        <v>110</v>
      </c>
      <c r="C25" s="85"/>
      <c r="D25" s="108">
        <v>0</v>
      </c>
      <c r="E25" s="92" t="s">
        <v>181</v>
      </c>
      <c r="F25" s="93"/>
    </row>
    <row r="26" spans="1:6" ht="25.5" customHeight="1">
      <c r="A26" s="81">
        <v>13</v>
      </c>
      <c r="B26" s="84" t="s">
        <v>111</v>
      </c>
      <c r="C26" s="85" t="s">
        <v>182</v>
      </c>
      <c r="D26" s="108">
        <f>'表1'!G83</f>
        <v>12.34844064</v>
      </c>
      <c r="E26" s="85" t="s">
        <v>183</v>
      </c>
      <c r="F26" s="107"/>
    </row>
    <row r="27" spans="1:6" ht="28.5" customHeight="1">
      <c r="A27" s="81">
        <v>14</v>
      </c>
      <c r="B27" s="84" t="s">
        <v>112</v>
      </c>
      <c r="C27" s="85" t="s">
        <v>184</v>
      </c>
      <c r="D27" s="108">
        <f>'表1'!G84</f>
        <v>4.1036582912</v>
      </c>
      <c r="E27" s="85" t="s">
        <v>185</v>
      </c>
      <c r="F27" s="107"/>
    </row>
    <row r="28" spans="1:6" ht="21.75" customHeight="1">
      <c r="A28" s="81">
        <v>15</v>
      </c>
      <c r="B28" s="84" t="s">
        <v>113</v>
      </c>
      <c r="C28" s="85" t="s">
        <v>186</v>
      </c>
      <c r="D28" s="108">
        <f>'表1'!G85</f>
        <v>0.21006471343424135</v>
      </c>
      <c r="E28" s="85" t="s">
        <v>187</v>
      </c>
      <c r="F28" s="107"/>
    </row>
    <row r="29" spans="1:6" ht="18" customHeight="1" hidden="1">
      <c r="A29" s="81">
        <v>18</v>
      </c>
      <c r="B29" s="84" t="s">
        <v>114</v>
      </c>
      <c r="C29" s="85"/>
      <c r="D29" s="108">
        <v>0</v>
      </c>
      <c r="E29" s="85" t="s">
        <v>188</v>
      </c>
      <c r="F29" s="107"/>
    </row>
    <row r="30" spans="1:6" ht="18" customHeight="1" hidden="1">
      <c r="A30" s="81">
        <v>18</v>
      </c>
      <c r="B30" s="84" t="s">
        <v>115</v>
      </c>
      <c r="C30" s="85"/>
      <c r="D30" s="108">
        <v>0</v>
      </c>
      <c r="E30" s="85" t="s">
        <v>189</v>
      </c>
      <c r="F30" s="107"/>
    </row>
    <row r="31" spans="1:6" ht="18" customHeight="1" hidden="1">
      <c r="A31" s="81">
        <v>18</v>
      </c>
      <c r="B31" s="84" t="s">
        <v>116</v>
      </c>
      <c r="C31" s="85"/>
      <c r="D31" s="108">
        <v>0</v>
      </c>
      <c r="E31" s="85" t="s">
        <v>190</v>
      </c>
      <c r="F31" s="107"/>
    </row>
    <row r="32" spans="1:6" ht="18" customHeight="1" hidden="1">
      <c r="A32" s="81">
        <v>18</v>
      </c>
      <c r="B32" s="84" t="s">
        <v>117</v>
      </c>
      <c r="C32" s="85"/>
      <c r="D32" s="108">
        <v>0</v>
      </c>
      <c r="E32" s="85" t="s">
        <v>191</v>
      </c>
      <c r="F32" s="107"/>
    </row>
    <row r="33" spans="1:6" ht="18" customHeight="1">
      <c r="A33" s="81">
        <v>16</v>
      </c>
      <c r="B33" s="84" t="s">
        <v>192</v>
      </c>
      <c r="C33" s="85">
        <v>5</v>
      </c>
      <c r="D33" s="108">
        <f>'表1'!G90</f>
        <v>0</v>
      </c>
      <c r="E33" s="85" t="s">
        <v>158</v>
      </c>
      <c r="F33" s="107"/>
    </row>
    <row r="34" spans="1:6" ht="18" customHeight="1" hidden="1">
      <c r="A34" s="81">
        <v>19</v>
      </c>
      <c r="B34" s="84" t="s">
        <v>119</v>
      </c>
      <c r="C34" s="85"/>
      <c r="D34" s="108">
        <v>0</v>
      </c>
      <c r="E34" s="85" t="s">
        <v>158</v>
      </c>
      <c r="F34" s="107"/>
    </row>
    <row r="35" spans="1:6" ht="18" customHeight="1">
      <c r="A35" s="81"/>
      <c r="B35" s="81" t="s">
        <v>193</v>
      </c>
      <c r="C35" s="82"/>
      <c r="D35" s="110">
        <f>SUM(D3:D34)</f>
        <v>1087.161317343693</v>
      </c>
      <c r="E35" s="85"/>
      <c r="F35" s="107"/>
    </row>
    <row r="36" spans="1:6" ht="18" customHeight="1">
      <c r="A36" s="81"/>
      <c r="B36" s="81"/>
      <c r="C36" s="82"/>
      <c r="D36" s="110"/>
      <c r="E36" s="85"/>
      <c r="F36" s="107"/>
    </row>
    <row r="37" spans="1:6" ht="18" customHeight="1">
      <c r="A37" s="81"/>
      <c r="B37" s="81"/>
      <c r="C37" s="82"/>
      <c r="D37" s="110"/>
      <c r="E37" s="85"/>
      <c r="F37" s="107"/>
    </row>
    <row r="38" spans="1:6" ht="18" customHeight="1">
      <c r="A38" s="81"/>
      <c r="B38" s="81"/>
      <c r="C38" s="82"/>
      <c r="D38" s="110"/>
      <c r="E38" s="85"/>
      <c r="F38" s="107"/>
    </row>
    <row r="39" spans="1:6" ht="18" customHeight="1">
      <c r="A39" s="81"/>
      <c r="B39" s="81"/>
      <c r="C39" s="82"/>
      <c r="D39" s="110"/>
      <c r="E39" s="85"/>
      <c r="F39" s="107"/>
    </row>
    <row r="40" spans="1:6" ht="18" customHeight="1">
      <c r="A40" s="81"/>
      <c r="B40" s="81"/>
      <c r="C40" s="82"/>
      <c r="D40" s="110"/>
      <c r="E40" s="85"/>
      <c r="F40" s="107"/>
    </row>
    <row r="41" spans="1:6" ht="18" customHeight="1">
      <c r="A41" s="81"/>
      <c r="B41" s="81"/>
      <c r="C41" s="82"/>
      <c r="D41" s="110"/>
      <c r="E41" s="85"/>
      <c r="F41" s="107"/>
    </row>
    <row r="42" spans="1:6" ht="18" customHeight="1">
      <c r="A42" s="81"/>
      <c r="B42" s="81"/>
      <c r="C42" s="82"/>
      <c r="D42" s="110"/>
      <c r="E42" s="85"/>
      <c r="F42" s="107"/>
    </row>
    <row r="43" spans="1:6" ht="18" customHeight="1">
      <c r="A43" s="81"/>
      <c r="B43" s="81"/>
      <c r="C43" s="82"/>
      <c r="D43" s="110"/>
      <c r="E43" s="85"/>
      <c r="F43" s="107"/>
    </row>
    <row r="44" spans="1:6" ht="18" customHeight="1" hidden="1">
      <c r="A44" s="81"/>
      <c r="B44" s="81"/>
      <c r="C44" s="82"/>
      <c r="D44" s="110"/>
      <c r="E44" s="85"/>
      <c r="F44" s="107"/>
    </row>
    <row r="45" spans="1:6" ht="18" customHeight="1" hidden="1">
      <c r="A45" s="81"/>
      <c r="B45" s="81"/>
      <c r="C45" s="82"/>
      <c r="D45" s="110"/>
      <c r="E45" s="85"/>
      <c r="F45" s="107"/>
    </row>
    <row r="46" spans="1:6" ht="18" customHeight="1" hidden="1">
      <c r="A46" s="81"/>
      <c r="B46" s="81"/>
      <c r="C46" s="82"/>
      <c r="D46" s="110"/>
      <c r="E46" s="85"/>
      <c r="F46" s="107"/>
    </row>
    <row r="47" spans="1:6" ht="18" customHeight="1" hidden="1">
      <c r="A47" s="81"/>
      <c r="B47" s="81"/>
      <c r="C47" s="82"/>
      <c r="D47" s="110"/>
      <c r="E47" s="85"/>
      <c r="F47" s="107"/>
    </row>
    <row r="48" spans="1:6" ht="18" customHeight="1" hidden="1">
      <c r="A48" s="101"/>
      <c r="B48" s="101"/>
      <c r="C48" s="101"/>
      <c r="D48" s="111"/>
      <c r="E48" s="102"/>
      <c r="F48" s="102"/>
    </row>
    <row r="49" spans="1:6" ht="18" customHeight="1" hidden="1">
      <c r="A49" s="101"/>
      <c r="B49" s="101"/>
      <c r="C49" s="101"/>
      <c r="D49" s="111"/>
      <c r="E49" s="102"/>
      <c r="F49" s="102"/>
    </row>
    <row r="50" spans="1:6" ht="18" customHeight="1" hidden="1">
      <c r="A50" s="101"/>
      <c r="B50" s="101"/>
      <c r="C50" s="101"/>
      <c r="D50" s="111"/>
      <c r="E50" s="102"/>
      <c r="F50" s="102"/>
    </row>
    <row r="51" spans="1:6" ht="18" customHeight="1" hidden="1">
      <c r="A51" s="101"/>
      <c r="B51" s="101"/>
      <c r="C51" s="101"/>
      <c r="D51" s="111"/>
      <c r="E51" s="102"/>
      <c r="F51" s="102"/>
    </row>
    <row r="52" spans="1:6" ht="18" customHeight="1" hidden="1">
      <c r="A52" s="101"/>
      <c r="B52" s="101"/>
      <c r="C52" s="101"/>
      <c r="D52" s="111"/>
      <c r="E52" s="102"/>
      <c r="F52" s="102"/>
    </row>
    <row r="53" spans="1:6" ht="18" customHeight="1" hidden="1">
      <c r="A53" s="101"/>
      <c r="B53" s="101"/>
      <c r="C53" s="101"/>
      <c r="D53" s="111"/>
      <c r="E53" s="102"/>
      <c r="F53" s="102"/>
    </row>
    <row r="54" spans="1:6" ht="18" customHeight="1" hidden="1">
      <c r="A54" s="101"/>
      <c r="B54" s="101"/>
      <c r="C54" s="101"/>
      <c r="D54" s="111"/>
      <c r="E54" s="102"/>
      <c r="F54" s="102"/>
    </row>
    <row r="55" spans="1:6" ht="18" customHeight="1" hidden="1">
      <c r="A55" s="101"/>
      <c r="B55" s="101"/>
      <c r="C55" s="101"/>
      <c r="D55" s="111"/>
      <c r="E55" s="102"/>
      <c r="F55" s="102"/>
    </row>
    <row r="56" spans="1:6" s="74" customFormat="1" ht="15" customHeight="1">
      <c r="A56" s="104" t="s">
        <v>194</v>
      </c>
      <c r="B56" s="105"/>
      <c r="C56" s="105"/>
      <c r="D56" s="112" t="s">
        <v>135</v>
      </c>
      <c r="E56" s="105" t="s">
        <v>134</v>
      </c>
      <c r="F56" s="105"/>
    </row>
  </sheetData>
  <sheetProtection sort="0" autoFilter="0"/>
  <mergeCells count="39">
    <mergeCell ref="E2:F2"/>
    <mergeCell ref="E3:F3"/>
    <mergeCell ref="E4:F4"/>
    <mergeCell ref="E5:F5"/>
    <mergeCell ref="E7:F7"/>
    <mergeCell ref="E8:F8"/>
    <mergeCell ref="E9:F9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</mergeCells>
  <conditionalFormatting sqref="A56">
    <cfRule type="expression" priority="2" dxfId="0" stopIfTrue="1">
      <formula>CELL("address")=ADDRESS(ROW(),COLUMN())</formula>
    </cfRule>
    <cfRule type="cellIs" priority="3" dxfId="1" operator="equal" stopIfTrue="1">
      <formula>0</formula>
    </cfRule>
  </conditionalFormatting>
  <conditionalFormatting sqref="G1:IV65536 F10 F48:F65536 F1 F6 F21:F25 A1:E65536">
    <cfRule type="expression" priority="4" dxfId="0" stopIfTrue="1">
      <formula>CELL("address")=ADDRESS(ROW(),COLUMN())</formula>
    </cfRule>
  </conditionalFormatting>
  <dataValidations count="1">
    <dataValidation type="list" allowBlank="1" showInputMessage="1" showErrorMessage="1" sqref="B4">
      <formula1>"建设单位管理费,项目代建管理费(全阶段),项目代建管理费(前期),项目代建管理费(实施阶段)"</formula1>
    </dataValidation>
  </dataValidations>
  <printOptions horizontalCentered="1"/>
  <pageMargins left="0.11" right="0.16" top="1.31" bottom="0.21" header="0.65" footer="0.17"/>
  <pageSetup horizontalDpi="600" verticalDpi="600" orientation="landscape" paperSize="9" scale="80"/>
  <headerFooter alignWithMargins="0">
    <oddHeader>&amp;L&amp;12
 &amp;"宋体"建设项目名称：汤洋路二期&amp;C&amp;"黑体"&amp;18工程建设其他费用计算表&amp;R
&amp;"宋体"
第&amp;"Times New Roman"&amp;P&amp;"宋体"页，共&amp;"Times New Roman"&amp;N&amp;"宋体"页，&amp;"Times New Roman"02&amp;"宋体"表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F39" sqref="A3:F39"/>
    </sheetView>
  </sheetViews>
  <sheetFormatPr defaultColWidth="10.28125" defaultRowHeight="12.75"/>
  <cols>
    <col min="1" max="1" width="4.7109375" style="75" customWidth="1"/>
    <col min="2" max="2" width="35.57421875" style="76" customWidth="1"/>
    <col min="3" max="3" width="59.140625" style="76" customWidth="1"/>
    <col min="4" max="4" width="68.57421875" style="76" customWidth="1"/>
    <col min="5" max="5" width="10.57421875" style="77" customWidth="1"/>
    <col min="6" max="6" width="6.140625" style="76" customWidth="1"/>
    <col min="7" max="16384" width="10.28125" style="76" customWidth="1"/>
  </cols>
  <sheetData>
    <row r="1" spans="1:6" ht="6" customHeight="1">
      <c r="A1" s="78"/>
      <c r="B1" s="79"/>
      <c r="C1" s="79"/>
      <c r="D1" s="79"/>
      <c r="E1" s="80"/>
      <c r="F1" s="79"/>
    </row>
    <row r="2" spans="1:6" ht="27" customHeight="1">
      <c r="A2" s="81" t="s">
        <v>0</v>
      </c>
      <c r="B2" s="81" t="s">
        <v>142</v>
      </c>
      <c r="C2" s="82" t="s">
        <v>195</v>
      </c>
      <c r="D2" s="83"/>
      <c r="E2" s="81" t="s">
        <v>144</v>
      </c>
      <c r="F2" s="81" t="s">
        <v>5</v>
      </c>
    </row>
    <row r="3" spans="1:6" ht="18" customHeight="1">
      <c r="A3" s="81">
        <v>1</v>
      </c>
      <c r="B3" s="84" t="s">
        <v>79</v>
      </c>
      <c r="C3" s="85"/>
      <c r="D3" s="86"/>
      <c r="E3" s="87">
        <f>'表1'!G51</f>
        <v>773.4</v>
      </c>
      <c r="F3" s="88"/>
    </row>
    <row r="4" spans="1:6" ht="18" customHeight="1">
      <c r="A4" s="81">
        <v>2</v>
      </c>
      <c r="B4" s="89" t="s">
        <v>90</v>
      </c>
      <c r="C4" s="90" t="s">
        <v>196</v>
      </c>
      <c r="D4" s="91"/>
      <c r="E4" s="87">
        <f>'表1'!G62</f>
        <v>64.12475</v>
      </c>
      <c r="F4" s="88"/>
    </row>
    <row r="5" spans="1:6" ht="19.5" customHeight="1">
      <c r="A5" s="81">
        <v>3</v>
      </c>
      <c r="B5" s="84" t="s">
        <v>91</v>
      </c>
      <c r="C5" s="85" t="s">
        <v>149</v>
      </c>
      <c r="D5" s="86"/>
      <c r="E5" s="87">
        <f>'表1'!G63</f>
        <v>72.82359295999998</v>
      </c>
      <c r="F5" s="88"/>
    </row>
    <row r="6" spans="1:6" ht="18" customHeight="1" hidden="1">
      <c r="A6" s="81">
        <v>3</v>
      </c>
      <c r="B6" s="84" t="s">
        <v>150</v>
      </c>
      <c r="C6" s="92" t="s">
        <v>151</v>
      </c>
      <c r="D6" s="93"/>
      <c r="E6" s="87">
        <v>0</v>
      </c>
      <c r="F6" s="88"/>
    </row>
    <row r="7" spans="1:6" ht="18" customHeight="1" hidden="1">
      <c r="A7" s="81">
        <v>4</v>
      </c>
      <c r="B7" s="84" t="s">
        <v>92</v>
      </c>
      <c r="C7" s="85" t="s">
        <v>197</v>
      </c>
      <c r="D7" s="86"/>
      <c r="E7" s="87">
        <f>'表1'!G64</f>
        <v>0</v>
      </c>
      <c r="F7" s="88"/>
    </row>
    <row r="8" spans="1:6" ht="18" customHeight="1">
      <c r="A8" s="81">
        <v>4</v>
      </c>
      <c r="B8" s="84" t="s">
        <v>93</v>
      </c>
      <c r="C8" s="85" t="s">
        <v>198</v>
      </c>
      <c r="D8" s="86"/>
      <c r="E8" s="87">
        <f>'表1'!G65</f>
        <v>21.940118559999995</v>
      </c>
      <c r="F8" s="88"/>
    </row>
    <row r="9" spans="1:6" ht="18" customHeight="1">
      <c r="A9" s="81">
        <v>5</v>
      </c>
      <c r="B9" s="84" t="s">
        <v>94</v>
      </c>
      <c r="C9" s="85" t="s">
        <v>157</v>
      </c>
      <c r="D9" s="86"/>
      <c r="E9" s="87">
        <f>'表1'!G66</f>
        <v>16.542244031999996</v>
      </c>
      <c r="F9" s="88"/>
    </row>
    <row r="10" spans="1:6" ht="18" customHeight="1" hidden="1">
      <c r="A10" s="81">
        <v>6</v>
      </c>
      <c r="B10" s="84" t="s">
        <v>95</v>
      </c>
      <c r="C10" s="92" t="s">
        <v>158</v>
      </c>
      <c r="D10" s="93"/>
      <c r="E10" s="87">
        <v>0</v>
      </c>
      <c r="F10" s="88"/>
    </row>
    <row r="11" spans="1:6" ht="18" customHeight="1">
      <c r="A11" s="81">
        <v>6</v>
      </c>
      <c r="B11" s="84" t="s">
        <v>96</v>
      </c>
      <c r="C11" s="85" t="s">
        <v>160</v>
      </c>
      <c r="D11" s="86"/>
      <c r="E11" s="87">
        <f>'表1'!G68</f>
        <v>22.647864319999996</v>
      </c>
      <c r="F11" s="88"/>
    </row>
    <row r="12" spans="1:6" ht="18" customHeight="1">
      <c r="A12" s="81">
        <v>7</v>
      </c>
      <c r="B12" s="84" t="s">
        <v>97</v>
      </c>
      <c r="C12" s="85" t="s">
        <v>162</v>
      </c>
      <c r="D12" s="86"/>
      <c r="E12" s="87">
        <f>'表1'!G69</f>
        <v>59.99440021999999</v>
      </c>
      <c r="F12" s="88"/>
    </row>
    <row r="13" spans="1:6" ht="18" customHeight="1" hidden="1">
      <c r="A13" s="81">
        <v>8</v>
      </c>
      <c r="B13" s="84" t="s">
        <v>98</v>
      </c>
      <c r="C13" s="85" t="s">
        <v>163</v>
      </c>
      <c r="D13" s="86"/>
      <c r="E13" s="87">
        <f>'表1'!G70</f>
        <v>0</v>
      </c>
      <c r="F13" s="88"/>
    </row>
    <row r="14" spans="1:6" ht="25.5" customHeight="1">
      <c r="A14" s="81">
        <v>8</v>
      </c>
      <c r="B14" s="84" t="s">
        <v>100</v>
      </c>
      <c r="C14" s="85" t="s">
        <v>167</v>
      </c>
      <c r="D14" s="86"/>
      <c r="E14" s="87">
        <f>'表1'!G72</f>
        <v>6.266195407058824</v>
      </c>
      <c r="F14" s="88"/>
    </row>
    <row r="15" spans="1:6" ht="18" customHeight="1">
      <c r="A15" s="81">
        <v>9</v>
      </c>
      <c r="B15" s="84" t="s">
        <v>101</v>
      </c>
      <c r="C15" s="94" t="s">
        <v>199</v>
      </c>
      <c r="D15" s="95"/>
      <c r="E15" s="87">
        <f>'表1'!G73</f>
        <v>0.9114289999999999</v>
      </c>
      <c r="F15" s="88"/>
    </row>
    <row r="16" spans="1:6" ht="18" customHeight="1">
      <c r="A16" s="81">
        <v>10</v>
      </c>
      <c r="B16" s="84" t="s">
        <v>102</v>
      </c>
      <c r="C16" s="85" t="s">
        <v>200</v>
      </c>
      <c r="D16" s="86"/>
      <c r="E16" s="87">
        <f>'表1'!G74</f>
        <v>21.232372799999997</v>
      </c>
      <c r="F16" s="88"/>
    </row>
    <row r="17" spans="1:6" ht="18" customHeight="1">
      <c r="A17" s="81">
        <v>11</v>
      </c>
      <c r="B17" s="84" t="s">
        <v>103</v>
      </c>
      <c r="C17" s="85" t="s">
        <v>172</v>
      </c>
      <c r="D17" s="86"/>
      <c r="E17" s="87">
        <f>'表1'!G75</f>
        <v>3.5387287999999995</v>
      </c>
      <c r="F17" s="88"/>
    </row>
    <row r="18" spans="1:6" ht="18" customHeight="1">
      <c r="A18" s="81">
        <v>12</v>
      </c>
      <c r="B18" s="84" t="s">
        <v>104</v>
      </c>
      <c r="C18" s="85" t="s">
        <v>174</v>
      </c>
      <c r="D18" s="86"/>
      <c r="E18" s="87">
        <f>'表1'!G76</f>
        <v>17.693644</v>
      </c>
      <c r="F18" s="88"/>
    </row>
    <row r="19" spans="1:6" ht="18" customHeight="1">
      <c r="A19" s="81">
        <v>13</v>
      </c>
      <c r="B19" s="84" t="s">
        <v>105</v>
      </c>
      <c r="C19" s="85" t="s">
        <v>176</v>
      </c>
      <c r="D19" s="86"/>
      <c r="E19" s="87">
        <f>'表1'!G77</f>
        <v>10.616186399999998</v>
      </c>
      <c r="F19" s="88"/>
    </row>
    <row r="20" spans="1:6" ht="18" customHeight="1" hidden="1">
      <c r="A20" s="81">
        <v>15</v>
      </c>
      <c r="B20" s="84" t="s">
        <v>106</v>
      </c>
      <c r="C20" s="96" t="s">
        <v>177</v>
      </c>
      <c r="D20" s="97"/>
      <c r="E20" s="87">
        <v>0</v>
      </c>
      <c r="F20" s="88"/>
    </row>
    <row r="21" spans="1:6" ht="18" customHeight="1" hidden="1">
      <c r="A21" s="81">
        <v>15</v>
      </c>
      <c r="B21" s="84" t="s">
        <v>107</v>
      </c>
      <c r="C21" s="96" t="s">
        <v>178</v>
      </c>
      <c r="D21" s="97"/>
      <c r="E21" s="87">
        <v>0</v>
      </c>
      <c r="F21" s="88"/>
    </row>
    <row r="22" spans="1:6" ht="18" customHeight="1" hidden="1">
      <c r="A22" s="81">
        <v>15</v>
      </c>
      <c r="B22" s="84" t="s">
        <v>108</v>
      </c>
      <c r="C22" s="96" t="s">
        <v>179</v>
      </c>
      <c r="D22" s="97"/>
      <c r="E22" s="87">
        <v>0</v>
      </c>
      <c r="F22" s="88"/>
    </row>
    <row r="23" spans="1:6" ht="18" customHeight="1" hidden="1">
      <c r="A23" s="81">
        <v>15</v>
      </c>
      <c r="B23" s="84" t="s">
        <v>109</v>
      </c>
      <c r="C23" s="92" t="s">
        <v>180</v>
      </c>
      <c r="D23" s="93"/>
      <c r="E23" s="87">
        <v>0</v>
      </c>
      <c r="F23" s="88"/>
    </row>
    <row r="24" spans="1:6" ht="18" customHeight="1" hidden="1">
      <c r="A24" s="81">
        <v>15</v>
      </c>
      <c r="B24" s="84" t="s">
        <v>110</v>
      </c>
      <c r="C24" s="92" t="s">
        <v>181</v>
      </c>
      <c r="D24" s="93"/>
      <c r="E24" s="87">
        <v>0</v>
      </c>
      <c r="F24" s="88"/>
    </row>
    <row r="25" spans="1:6" ht="18" customHeight="1">
      <c r="A25" s="81">
        <v>14</v>
      </c>
      <c r="B25" s="84" t="s">
        <v>111</v>
      </c>
      <c r="C25" s="85" t="s">
        <v>201</v>
      </c>
      <c r="D25" s="86"/>
      <c r="E25" s="87">
        <f>'表1'!G83</f>
        <v>12.34844064</v>
      </c>
      <c r="F25" s="88"/>
    </row>
    <row r="26" spans="1:6" ht="18" customHeight="1">
      <c r="A26" s="81">
        <v>15</v>
      </c>
      <c r="B26" s="84" t="s">
        <v>112</v>
      </c>
      <c r="C26" s="85" t="s">
        <v>185</v>
      </c>
      <c r="D26" s="86"/>
      <c r="E26" s="87">
        <f>'表1'!G84</f>
        <v>4.1036582912</v>
      </c>
      <c r="F26" s="88"/>
    </row>
    <row r="27" spans="1:6" ht="18" customHeight="1">
      <c r="A27" s="81">
        <v>16</v>
      </c>
      <c r="B27" s="84" t="s">
        <v>113</v>
      </c>
      <c r="C27" s="85" t="s">
        <v>187</v>
      </c>
      <c r="D27" s="86"/>
      <c r="E27" s="87">
        <f>'表1'!G85</f>
        <v>0.21006471343424135</v>
      </c>
      <c r="F27" s="88"/>
    </row>
    <row r="28" spans="1:6" ht="18" customHeight="1" hidden="1">
      <c r="A28" s="81">
        <v>18</v>
      </c>
      <c r="B28" s="84" t="s">
        <v>114</v>
      </c>
      <c r="C28" s="85" t="s">
        <v>188</v>
      </c>
      <c r="D28" s="86"/>
      <c r="E28" s="87">
        <v>0</v>
      </c>
      <c r="F28" s="88"/>
    </row>
    <row r="29" spans="1:6" ht="18" customHeight="1" hidden="1">
      <c r="A29" s="81">
        <v>18</v>
      </c>
      <c r="B29" s="84" t="s">
        <v>115</v>
      </c>
      <c r="C29" s="85" t="s">
        <v>189</v>
      </c>
      <c r="D29" s="86"/>
      <c r="E29" s="87">
        <v>0</v>
      </c>
      <c r="F29" s="88"/>
    </row>
    <row r="30" spans="1:6" ht="18" customHeight="1" hidden="1">
      <c r="A30" s="81">
        <v>18</v>
      </c>
      <c r="B30" s="84" t="s">
        <v>116</v>
      </c>
      <c r="C30" s="85" t="s">
        <v>190</v>
      </c>
      <c r="D30" s="86"/>
      <c r="E30" s="87">
        <v>0</v>
      </c>
      <c r="F30" s="88"/>
    </row>
    <row r="31" spans="1:6" ht="18" customHeight="1" hidden="1">
      <c r="A31" s="81">
        <v>18</v>
      </c>
      <c r="B31" s="84" t="s">
        <v>117</v>
      </c>
      <c r="C31" s="85" t="s">
        <v>191</v>
      </c>
      <c r="D31" s="86"/>
      <c r="E31" s="87">
        <v>0</v>
      </c>
      <c r="F31" s="88"/>
    </row>
    <row r="32" spans="1:6" ht="18" customHeight="1" hidden="1">
      <c r="A32" s="81">
        <v>16</v>
      </c>
      <c r="B32" s="84" t="s">
        <v>118</v>
      </c>
      <c r="C32" s="85" t="s">
        <v>158</v>
      </c>
      <c r="D32" s="86"/>
      <c r="E32" s="87">
        <f>'表1'!G90</f>
        <v>0</v>
      </c>
      <c r="F32" s="88"/>
    </row>
    <row r="33" spans="1:6" ht="18" customHeight="1" hidden="1">
      <c r="A33" s="81">
        <v>19</v>
      </c>
      <c r="B33" s="84" t="s">
        <v>119</v>
      </c>
      <c r="C33" s="85" t="s">
        <v>158</v>
      </c>
      <c r="D33" s="86"/>
      <c r="E33" s="87">
        <v>0</v>
      </c>
      <c r="F33" s="88"/>
    </row>
    <row r="34" spans="1:6" ht="18" customHeight="1" hidden="1">
      <c r="A34" s="81">
        <v>14</v>
      </c>
      <c r="B34" s="84" t="s">
        <v>120</v>
      </c>
      <c r="C34" s="85" t="s">
        <v>202</v>
      </c>
      <c r="D34" s="86"/>
      <c r="E34" s="87">
        <f>'表1'!G92</f>
        <v>0</v>
      </c>
      <c r="F34" s="88"/>
    </row>
    <row r="35" spans="1:6" ht="18" customHeight="1" hidden="1">
      <c r="A35" s="98">
        <v>17</v>
      </c>
      <c r="B35" s="84" t="s">
        <v>92</v>
      </c>
      <c r="C35" s="85" t="s">
        <v>203</v>
      </c>
      <c r="D35" s="86"/>
      <c r="E35" s="87">
        <f>'表1'!G93</f>
        <v>0</v>
      </c>
      <c r="F35" s="88"/>
    </row>
    <row r="36" spans="1:6" ht="18" customHeight="1" hidden="1">
      <c r="A36" s="98">
        <v>18</v>
      </c>
      <c r="B36" s="84" t="s">
        <v>118</v>
      </c>
      <c r="C36" s="85" t="s">
        <v>158</v>
      </c>
      <c r="D36" s="86"/>
      <c r="E36" s="87">
        <f>'表1'!G94</f>
        <v>0</v>
      </c>
      <c r="F36" s="88"/>
    </row>
    <row r="37" spans="1:6" ht="18" customHeight="1">
      <c r="A37" s="98">
        <v>17</v>
      </c>
      <c r="B37" s="99" t="s">
        <v>121</v>
      </c>
      <c r="C37" s="94" t="s">
        <v>204</v>
      </c>
      <c r="D37" s="95"/>
      <c r="E37" s="87">
        <f>'表1'!G95</f>
        <v>7.077457599999999</v>
      </c>
      <c r="F37" s="88"/>
    </row>
    <row r="38" spans="1:6" ht="18" customHeight="1">
      <c r="A38" s="98">
        <v>18</v>
      </c>
      <c r="B38" s="99" t="s">
        <v>122</v>
      </c>
      <c r="C38" s="94"/>
      <c r="D38" s="95"/>
      <c r="E38" s="87">
        <f>'表1'!G96</f>
        <v>8.26</v>
      </c>
      <c r="F38" s="88"/>
    </row>
    <row r="39" spans="1:6" ht="18" customHeight="1">
      <c r="A39" s="81"/>
      <c r="B39" s="81" t="s">
        <v>193</v>
      </c>
      <c r="C39" s="85"/>
      <c r="D39" s="86"/>
      <c r="E39" s="100">
        <f>SUM(E3:E38)</f>
        <v>1123.7311477436929</v>
      </c>
      <c r="F39" s="88"/>
    </row>
    <row r="40" spans="1:6" ht="18" customHeight="1">
      <c r="A40" s="81"/>
      <c r="B40" s="81"/>
      <c r="C40" s="85"/>
      <c r="D40" s="86"/>
      <c r="E40" s="100"/>
      <c r="F40" s="88"/>
    </row>
    <row r="41" spans="1:6" ht="18" customHeight="1">
      <c r="A41" s="81"/>
      <c r="B41" s="81"/>
      <c r="C41" s="85"/>
      <c r="D41" s="86"/>
      <c r="E41" s="100"/>
      <c r="F41" s="88"/>
    </row>
    <row r="42" spans="1:6" ht="18" customHeight="1">
      <c r="A42" s="81"/>
      <c r="B42" s="81"/>
      <c r="C42" s="85"/>
      <c r="D42" s="86"/>
      <c r="E42" s="100"/>
      <c r="F42" s="88"/>
    </row>
    <row r="43" spans="1:6" ht="18" customHeight="1">
      <c r="A43" s="81"/>
      <c r="B43" s="81"/>
      <c r="C43" s="85"/>
      <c r="D43" s="86"/>
      <c r="E43" s="100"/>
      <c r="F43" s="88"/>
    </row>
    <row r="44" spans="1:6" ht="18" customHeight="1">
      <c r="A44" s="81"/>
      <c r="B44" s="81"/>
      <c r="C44" s="85"/>
      <c r="D44" s="86"/>
      <c r="E44" s="100"/>
      <c r="F44" s="88"/>
    </row>
    <row r="45" spans="1:6" ht="18" customHeight="1">
      <c r="A45" s="81"/>
      <c r="B45" s="81"/>
      <c r="C45" s="85"/>
      <c r="D45" s="86"/>
      <c r="E45" s="100"/>
      <c r="F45" s="88"/>
    </row>
    <row r="46" spans="1:6" ht="18" customHeight="1">
      <c r="A46" s="81"/>
      <c r="B46" s="81"/>
      <c r="C46" s="85"/>
      <c r="D46" s="86"/>
      <c r="E46" s="100"/>
      <c r="F46" s="88"/>
    </row>
    <row r="47" spans="1:6" ht="18" customHeight="1">
      <c r="A47" s="81"/>
      <c r="B47" s="81"/>
      <c r="C47" s="85"/>
      <c r="D47" s="86"/>
      <c r="E47" s="100"/>
      <c r="F47" s="88"/>
    </row>
    <row r="48" spans="1:6" ht="18" customHeight="1" hidden="1">
      <c r="A48" s="81"/>
      <c r="B48" s="81"/>
      <c r="C48" s="85"/>
      <c r="D48" s="86"/>
      <c r="E48" s="100"/>
      <c r="F48" s="88"/>
    </row>
    <row r="49" spans="1:6" ht="18" customHeight="1" hidden="1">
      <c r="A49" s="81"/>
      <c r="B49" s="81"/>
      <c r="C49" s="85"/>
      <c r="D49" s="86"/>
      <c r="E49" s="100"/>
      <c r="F49" s="88"/>
    </row>
    <row r="50" spans="1:6" ht="18" customHeight="1" hidden="1">
      <c r="A50" s="81"/>
      <c r="B50" s="81"/>
      <c r="C50" s="85"/>
      <c r="D50" s="86"/>
      <c r="E50" s="100"/>
      <c r="F50" s="88"/>
    </row>
    <row r="51" spans="1:6" ht="18" customHeight="1" hidden="1">
      <c r="A51" s="81"/>
      <c r="B51" s="81"/>
      <c r="C51" s="85"/>
      <c r="D51" s="86"/>
      <c r="E51" s="100"/>
      <c r="F51" s="88"/>
    </row>
    <row r="52" spans="1:6" ht="18" customHeight="1" hidden="1">
      <c r="A52" s="101"/>
      <c r="B52" s="101"/>
      <c r="C52" s="102"/>
      <c r="D52" s="102"/>
      <c r="E52" s="103"/>
      <c r="F52" s="88"/>
    </row>
    <row r="53" spans="1:6" ht="18" customHeight="1" hidden="1">
      <c r="A53" s="101"/>
      <c r="B53" s="101"/>
      <c r="C53" s="102"/>
      <c r="D53" s="102"/>
      <c r="E53" s="103"/>
      <c r="F53" s="88"/>
    </row>
    <row r="54" spans="1:6" ht="18" customHeight="1" hidden="1">
      <c r="A54" s="101"/>
      <c r="B54" s="101"/>
      <c r="C54" s="102"/>
      <c r="D54" s="102"/>
      <c r="E54" s="103"/>
      <c r="F54" s="88"/>
    </row>
    <row r="55" spans="1:6" ht="18" customHeight="1" hidden="1">
      <c r="A55" s="101"/>
      <c r="B55" s="101"/>
      <c r="C55" s="102"/>
      <c r="D55" s="102"/>
      <c r="E55" s="103"/>
      <c r="F55" s="88"/>
    </row>
    <row r="56" spans="1:6" ht="18" customHeight="1" hidden="1">
      <c r="A56" s="101"/>
      <c r="B56" s="101"/>
      <c r="C56" s="102"/>
      <c r="D56" s="102"/>
      <c r="E56" s="103"/>
      <c r="F56" s="88"/>
    </row>
    <row r="57" spans="1:6" ht="18" customHeight="1" hidden="1">
      <c r="A57" s="101"/>
      <c r="B57" s="101"/>
      <c r="C57" s="102"/>
      <c r="D57" s="102"/>
      <c r="E57" s="103"/>
      <c r="F57" s="88"/>
    </row>
    <row r="58" spans="1:6" ht="18" customHeight="1" hidden="1">
      <c r="A58" s="101"/>
      <c r="B58" s="101"/>
      <c r="C58" s="102"/>
      <c r="D58" s="102"/>
      <c r="E58" s="103"/>
      <c r="F58" s="88"/>
    </row>
    <row r="59" spans="1:6" ht="18" customHeight="1" hidden="1">
      <c r="A59" s="101"/>
      <c r="B59" s="101"/>
      <c r="C59" s="102"/>
      <c r="D59" s="102"/>
      <c r="E59" s="103"/>
      <c r="F59" s="88"/>
    </row>
    <row r="60" spans="1:6" s="74" customFormat="1" ht="15" customHeight="1">
      <c r="A60" s="104" t="s">
        <v>194</v>
      </c>
      <c r="B60" s="105"/>
      <c r="C60" s="105" t="s">
        <v>134</v>
      </c>
      <c r="D60" s="105"/>
      <c r="E60" s="106" t="s">
        <v>135</v>
      </c>
      <c r="F60" s="105"/>
    </row>
  </sheetData>
  <sheetProtection sort="0" autoFilter="0"/>
  <mergeCells count="43">
    <mergeCell ref="C2:D2"/>
    <mergeCell ref="C3:D3"/>
    <mergeCell ref="C4:D4"/>
    <mergeCell ref="C5:D5"/>
    <mergeCell ref="C7:D7"/>
    <mergeCell ref="C8:D8"/>
    <mergeCell ref="C9:D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</mergeCells>
  <conditionalFormatting sqref="B16:D16">
    <cfRule type="expression" priority="6" dxfId="0" stopIfTrue="1">
      <formula>CELL("address")=ADDRESS(ROW(),COLUMN())</formula>
    </cfRule>
  </conditionalFormatting>
  <conditionalFormatting sqref="A35">
    <cfRule type="expression" priority="13" dxfId="0" stopIfTrue="1">
      <formula>CELL("address")=ADDRESS(ROW(),COLUMN())</formula>
    </cfRule>
  </conditionalFormatting>
  <conditionalFormatting sqref="B35:D35">
    <cfRule type="expression" priority="12" dxfId="0" stopIfTrue="1">
      <formula>CELL("address")=ADDRESS(ROW(),COLUMN())</formula>
    </cfRule>
  </conditionalFormatting>
  <conditionalFormatting sqref="E35:IV35">
    <cfRule type="expression" priority="14" dxfId="0" stopIfTrue="1">
      <formula>CELL("address")=ADDRESS(ROW(),COLUMN())</formula>
    </cfRule>
  </conditionalFormatting>
  <conditionalFormatting sqref="A36">
    <cfRule type="expression" priority="23" dxfId="0" stopIfTrue="1">
      <formula>CELL("address")=ADDRESS(ROW(),COLUMN())</formula>
    </cfRule>
  </conditionalFormatting>
  <conditionalFormatting sqref="B36:D36">
    <cfRule type="expression" priority="15" dxfId="0" stopIfTrue="1">
      <formula>CELL("address")=ADDRESS(ROW(),COLUMN())</formula>
    </cfRule>
  </conditionalFormatting>
  <conditionalFormatting sqref="E36:IV36">
    <cfRule type="expression" priority="24" dxfId="0" stopIfTrue="1">
      <formula>CELL("address")=ADDRESS(ROW(),COLUMN())</formula>
    </cfRule>
  </conditionalFormatting>
  <conditionalFormatting sqref="A37">
    <cfRule type="expression" priority="10" dxfId="0" stopIfTrue="1">
      <formula>CELL("address")=ADDRESS(ROW(),COLUMN())</formula>
    </cfRule>
  </conditionalFormatting>
  <conditionalFormatting sqref="B37">
    <cfRule type="expression" priority="7" dxfId="0" stopIfTrue="1">
      <formula>CELL("address")=ADDRESS(ROW(),COLUMN())</formula>
    </cfRule>
  </conditionalFormatting>
  <conditionalFormatting sqref="C37">
    <cfRule type="expression" priority="8" dxfId="0" stopIfTrue="1">
      <formula>CELL("address")=ADDRESS(ROW(),COLUMN())</formula>
    </cfRule>
  </conditionalFormatting>
  <conditionalFormatting sqref="E37:IV37">
    <cfRule type="expression" priority="11" dxfId="0" stopIfTrue="1">
      <formula>CELL("address")=ADDRESS(ROW(),COLUMN())</formula>
    </cfRule>
  </conditionalFormatting>
  <conditionalFormatting sqref="A38">
    <cfRule type="expression" priority="4" dxfId="0" stopIfTrue="1">
      <formula>CELL("address")=ADDRESS(ROW(),COLUMN())</formula>
    </cfRule>
  </conditionalFormatting>
  <conditionalFormatting sqref="B38">
    <cfRule type="expression" priority="1" dxfId="0" stopIfTrue="1">
      <formula>CELL("address")=ADDRESS(ROW(),COLUMN())</formula>
    </cfRule>
  </conditionalFormatting>
  <conditionalFormatting sqref="C38">
    <cfRule type="expression" priority="3" dxfId="0" stopIfTrue="1">
      <formula>CELL("address")=ADDRESS(ROW(),COLUMN())</formula>
    </cfRule>
  </conditionalFormatting>
  <conditionalFormatting sqref="E38:IV38">
    <cfRule type="expression" priority="5" dxfId="0" stopIfTrue="1">
      <formula>CELL("address")=ADDRESS(ROW(),COLUMN())</formula>
    </cfRule>
  </conditionalFormatting>
  <conditionalFormatting sqref="A60">
    <cfRule type="expression" priority="27" dxfId="0" stopIfTrue="1">
      <formula>CELL("address")=ADDRESS(ROW(),COLUMN())</formula>
    </cfRule>
    <cfRule type="cellIs" priority="28" dxfId="1" operator="equal" stopIfTrue="1">
      <formula>0</formula>
    </cfRule>
  </conditionalFormatting>
  <conditionalFormatting sqref="D20:D33 D5:D10 D1:E3 C33:D33 A39:IV65536 D12:D15 F1:IV34 E4:E34 A1:C15 A17:C34 A16 D17:D18">
    <cfRule type="expression" priority="29" dxfId="0" stopIfTrue="1">
      <formula>CELL("address")=ADDRESS(ROW(),COLUMN())</formula>
    </cfRule>
  </conditionalFormatting>
  <dataValidations count="1">
    <dataValidation type="list" allowBlank="1" showInputMessage="1" showErrorMessage="1" sqref="B4">
      <formula1>"建设单位管理费,项目代建管理费(全阶段),项目代建管理费(前期),项目代建管理费(实施阶段)"</formula1>
    </dataValidation>
  </dataValidations>
  <printOptions horizontalCentered="1"/>
  <pageMargins left="0.11" right="0.16" top="1.31" bottom="0.21" header="0.65" footer="0.17"/>
  <pageSetup horizontalDpi="600" verticalDpi="600" orientation="landscape" paperSize="9" scale="79"/>
  <headerFooter alignWithMargins="0">
    <oddHeader>&amp;L&amp;12
&amp;"+,常规"
 建设项目名称：闽清县老旧小区洋桃片区改造工程&amp;C&amp;"黑体,常规"&amp;18工程建设其他费用计算表&amp;R
&amp;"宋体,常规"
第&amp;"Times New Roman,常规"&amp;P&amp;"宋体,常规"页，共&amp;"Times New Roman,常规"&amp;N&amp;"宋体,常规"页，&amp;"Times New Roman,常规"02&amp;"宋体,常规"表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7"/>
  <sheetViews>
    <sheetView workbookViewId="0" topLeftCell="A20">
      <selection activeCell="F54" sqref="F54"/>
    </sheetView>
  </sheetViews>
  <sheetFormatPr defaultColWidth="10.28125" defaultRowHeight="12.75" outlineLevelRow="1"/>
  <cols>
    <col min="1" max="1" width="5.8515625" style="47" customWidth="1"/>
    <col min="2" max="2" width="24.8515625" style="48" customWidth="1"/>
    <col min="3" max="5" width="15.57421875" style="48" customWidth="1"/>
    <col min="6" max="8" width="10.28125" style="48" customWidth="1"/>
    <col min="9" max="9" width="12.57421875" style="48" bestFit="1" customWidth="1"/>
    <col min="10" max="10" width="11.28125" style="48" hidden="1" customWidth="1"/>
    <col min="11" max="11" width="11.00390625" style="48" bestFit="1" customWidth="1"/>
    <col min="12" max="16384" width="10.28125" style="48" customWidth="1"/>
  </cols>
  <sheetData>
    <row r="1" ht="18.75">
      <c r="B1" s="49"/>
    </row>
    <row r="2" spans="1:5" ht="23.25" customHeight="1">
      <c r="A2" s="50" t="s">
        <v>205</v>
      </c>
      <c r="B2" s="50"/>
      <c r="C2" s="50"/>
      <c r="D2" s="50"/>
      <c r="E2" s="51" t="s">
        <v>206</v>
      </c>
    </row>
    <row r="3" spans="1:5" s="46" customFormat="1" ht="21.75" customHeight="1">
      <c r="A3" s="52" t="s">
        <v>0</v>
      </c>
      <c r="B3" s="53" t="s">
        <v>207</v>
      </c>
      <c r="C3" s="54" t="s">
        <v>208</v>
      </c>
      <c r="D3" s="55" t="s">
        <v>209</v>
      </c>
      <c r="E3" s="21" t="s">
        <v>210</v>
      </c>
    </row>
    <row r="4" spans="1:5" s="46" customFormat="1" ht="21.75" customHeight="1">
      <c r="A4" s="24"/>
      <c r="B4" s="56" t="s">
        <v>211</v>
      </c>
      <c r="C4" s="54"/>
      <c r="D4" s="57"/>
      <c r="E4" s="21"/>
    </row>
    <row r="5" spans="1:5" s="46" customFormat="1" ht="12" outlineLevel="1">
      <c r="A5" s="24">
        <v>1</v>
      </c>
      <c r="B5" s="58" t="s">
        <v>6</v>
      </c>
      <c r="C5" s="59">
        <f>建筑工程费</f>
        <v>3487.7287999999994</v>
      </c>
      <c r="D5" s="59">
        <f>C5</f>
        <v>3487.7287999999994</v>
      </c>
      <c r="E5" s="59">
        <f>C5/C16*100</f>
        <v>72.97829365743448</v>
      </c>
    </row>
    <row r="6" spans="1:5" s="46" customFormat="1" ht="12" outlineLevel="1">
      <c r="A6" s="60">
        <v>2</v>
      </c>
      <c r="B6" s="61" t="s">
        <v>212</v>
      </c>
      <c r="C6" s="59">
        <f>设备购置费</f>
        <v>42.5</v>
      </c>
      <c r="D6" s="59">
        <f aca="true" t="shared" si="0" ref="D6:D16">C6</f>
        <v>42.5</v>
      </c>
      <c r="E6" s="59">
        <f>C6/C16*100</f>
        <v>0.8892828709735018</v>
      </c>
    </row>
    <row r="7" spans="1:5" s="46" customFormat="1" ht="12" outlineLevel="1">
      <c r="A7" s="60">
        <v>3</v>
      </c>
      <c r="B7" s="61" t="s">
        <v>7</v>
      </c>
      <c r="C7" s="59">
        <f>安装工程费</f>
        <v>8.5</v>
      </c>
      <c r="D7" s="59">
        <f t="shared" si="0"/>
        <v>8.5</v>
      </c>
      <c r="E7" s="59">
        <f>C7/C16*100</f>
        <v>0.17785657419470033</v>
      </c>
    </row>
    <row r="8" spans="1:5" s="46" customFormat="1" ht="12" outlineLevel="1">
      <c r="A8" s="60">
        <v>4</v>
      </c>
      <c r="B8" s="61" t="s">
        <v>213</v>
      </c>
      <c r="C8" s="59">
        <f>工程建设其他费</f>
        <v>1123.7311477436929</v>
      </c>
      <c r="D8" s="59">
        <f t="shared" si="0"/>
        <v>1123.7311477436929</v>
      </c>
      <c r="E8" s="59">
        <f>C8/C16*100</f>
        <v>23.513290853361397</v>
      </c>
    </row>
    <row r="9" spans="1:5" s="46" customFormat="1" ht="12" outlineLevel="1">
      <c r="A9" s="60">
        <v>5</v>
      </c>
      <c r="B9" s="61" t="s">
        <v>126</v>
      </c>
      <c r="C9" s="59">
        <f>预备费</f>
        <v>116.67179843231077</v>
      </c>
      <c r="D9" s="59">
        <f t="shared" si="0"/>
        <v>116.67179843231077</v>
      </c>
      <c r="E9" s="59">
        <f>C9/C16*100</f>
        <v>2.44127604403593</v>
      </c>
    </row>
    <row r="10" spans="1:5" s="46" customFormat="1" ht="12" hidden="1" outlineLevel="1">
      <c r="A10" s="60">
        <v>5</v>
      </c>
      <c r="B10" s="61" t="s">
        <v>214</v>
      </c>
      <c r="C10" s="59">
        <v>0</v>
      </c>
      <c r="D10" s="59">
        <f t="shared" si="0"/>
        <v>0</v>
      </c>
      <c r="E10" s="59" t="e">
        <f>C10/C20*100</f>
        <v>#VALUE!</v>
      </c>
    </row>
    <row r="11" spans="1:5" s="46" customFormat="1" ht="12" hidden="1" outlineLevel="1">
      <c r="A11" s="60">
        <v>5</v>
      </c>
      <c r="B11" s="61" t="s">
        <v>215</v>
      </c>
      <c r="C11" s="59">
        <v>0</v>
      </c>
      <c r="D11" s="59">
        <f t="shared" si="0"/>
        <v>0</v>
      </c>
      <c r="E11" s="59" t="e">
        <f>C11/C21*100</f>
        <v>#DIV/0!</v>
      </c>
    </row>
    <row r="12" spans="1:5" s="46" customFormat="1" ht="12" hidden="1" outlineLevel="1">
      <c r="A12" s="60">
        <v>5</v>
      </c>
      <c r="B12" s="61" t="s">
        <v>216</v>
      </c>
      <c r="C12" s="59">
        <v>0</v>
      </c>
      <c r="D12" s="59">
        <f t="shared" si="0"/>
        <v>0</v>
      </c>
      <c r="E12" s="59">
        <f>C12/C22*100</f>
        <v>0</v>
      </c>
    </row>
    <row r="13" spans="1:5" s="46" customFormat="1" ht="12" hidden="1" outlineLevel="1">
      <c r="A13" s="60">
        <v>6</v>
      </c>
      <c r="B13" s="61" t="s">
        <v>130</v>
      </c>
      <c r="C13" s="59">
        <f>建贷或融资费</f>
        <v>0</v>
      </c>
      <c r="D13" s="59">
        <f t="shared" si="0"/>
        <v>0</v>
      </c>
      <c r="E13" s="59">
        <f>C13/C16*100</f>
        <v>0</v>
      </c>
    </row>
    <row r="14" spans="1:5" s="46" customFormat="1" ht="12" hidden="1" outlineLevel="1">
      <c r="A14" s="60">
        <v>6</v>
      </c>
      <c r="B14" s="61" t="s">
        <v>217</v>
      </c>
      <c r="C14" s="59">
        <v>0</v>
      </c>
      <c r="D14" s="59">
        <f t="shared" si="0"/>
        <v>0</v>
      </c>
      <c r="E14" s="59" t="e">
        <f>C14/C24*100</f>
        <v>#DIV/0!</v>
      </c>
    </row>
    <row r="15" spans="1:5" s="46" customFormat="1" ht="12">
      <c r="A15" s="60"/>
      <c r="B15" s="61" t="s">
        <v>218</v>
      </c>
      <c r="C15" s="59">
        <f>C5+C6+C7+C8+C9</f>
        <v>4779.131746176003</v>
      </c>
      <c r="D15" s="59">
        <f t="shared" si="0"/>
        <v>4779.131746176003</v>
      </c>
      <c r="E15" s="59">
        <f>C15/C16*100</f>
        <v>100</v>
      </c>
    </row>
    <row r="16" spans="1:6" s="46" customFormat="1" ht="12">
      <c r="A16" s="60"/>
      <c r="B16" s="61" t="s">
        <v>219</v>
      </c>
      <c r="C16" s="59">
        <f>SUM(C5:C13)</f>
        <v>4779.131746176003</v>
      </c>
      <c r="D16" s="59">
        <f t="shared" si="0"/>
        <v>4779.131746176003</v>
      </c>
      <c r="E16" s="59">
        <f>E5+E6+E7+E8+E9+E13</f>
        <v>100.00000000000001</v>
      </c>
      <c r="F16" s="46">
        <f>C16*0.2</f>
        <v>955.8263492352006</v>
      </c>
    </row>
    <row r="17" spans="1:6" s="46" customFormat="1" ht="12.75">
      <c r="A17" s="60"/>
      <c r="B17" s="61" t="s">
        <v>220</v>
      </c>
      <c r="C17" s="62">
        <v>100</v>
      </c>
      <c r="D17" s="63"/>
      <c r="E17" s="63"/>
      <c r="F17" s="46">
        <f>C16*0.8</f>
        <v>3823.3053969408024</v>
      </c>
    </row>
    <row r="18" ht="15" customHeight="1"/>
    <row r="19" spans="1:5" ht="23.25" customHeight="1">
      <c r="A19" s="17" t="s">
        <v>221</v>
      </c>
      <c r="B19" s="17"/>
      <c r="C19" s="17"/>
      <c r="D19" s="17"/>
      <c r="E19" s="17" t="s">
        <v>222</v>
      </c>
    </row>
    <row r="20" spans="1:5" s="16" customFormat="1" ht="21.75" customHeight="1">
      <c r="A20" s="52" t="s">
        <v>223</v>
      </c>
      <c r="B20" s="53" t="s">
        <v>207</v>
      </c>
      <c r="C20" s="55" t="s">
        <v>208</v>
      </c>
      <c r="D20" s="52" t="s">
        <v>209</v>
      </c>
      <c r="E20" s="55" t="s">
        <v>220</v>
      </c>
    </row>
    <row r="21" spans="1:5" s="16" customFormat="1" ht="21.75" customHeight="1">
      <c r="A21" s="24" t="s">
        <v>224</v>
      </c>
      <c r="B21" s="56" t="s">
        <v>211</v>
      </c>
      <c r="C21" s="57"/>
      <c r="D21" s="24"/>
      <c r="E21" s="57"/>
    </row>
    <row r="22" spans="1:5" s="16" customFormat="1" ht="14.25" customHeight="1" outlineLevel="1">
      <c r="A22" s="60">
        <v>1</v>
      </c>
      <c r="B22" s="61" t="s">
        <v>225</v>
      </c>
      <c r="C22" s="64">
        <f>'表1'!G6+'表1'!G14</f>
        <v>378.78249999999997</v>
      </c>
      <c r="D22" s="65">
        <f>C22</f>
        <v>378.78249999999997</v>
      </c>
      <c r="E22" s="65">
        <f aca="true" t="shared" si="1" ref="E22:E40">C22/$C$41*100</f>
        <v>7.9257597429298885</v>
      </c>
    </row>
    <row r="23" spans="1:5" ht="12.75" hidden="1" outlineLevel="1">
      <c r="A23" s="60">
        <v>2</v>
      </c>
      <c r="B23" s="61" t="s">
        <v>226</v>
      </c>
      <c r="C23" s="64"/>
      <c r="D23" s="65">
        <f aca="true" t="shared" si="2" ref="D23:D40">C23</f>
        <v>0</v>
      </c>
      <c r="E23" s="65">
        <f t="shared" si="1"/>
        <v>0</v>
      </c>
    </row>
    <row r="24" spans="1:5" ht="12.75" hidden="1" outlineLevel="1">
      <c r="A24" s="60">
        <v>3</v>
      </c>
      <c r="B24" s="61" t="s">
        <v>227</v>
      </c>
      <c r="C24" s="64">
        <v>0</v>
      </c>
      <c r="D24" s="65">
        <f t="shared" si="2"/>
        <v>0</v>
      </c>
      <c r="E24" s="65">
        <f t="shared" si="1"/>
        <v>0</v>
      </c>
    </row>
    <row r="25" spans="1:5" ht="12.75" hidden="1" outlineLevel="1">
      <c r="A25" s="60">
        <v>3</v>
      </c>
      <c r="B25" s="61" t="s">
        <v>228</v>
      </c>
      <c r="C25" s="64"/>
      <c r="D25" s="65">
        <f t="shared" si="2"/>
        <v>0</v>
      </c>
      <c r="E25" s="65">
        <f t="shared" si="1"/>
        <v>0</v>
      </c>
    </row>
    <row r="26" spans="1:5" ht="12.75" hidden="1" outlineLevel="1">
      <c r="A26" s="60">
        <v>5</v>
      </c>
      <c r="B26" s="58" t="s">
        <v>229</v>
      </c>
      <c r="C26" s="64">
        <v>0</v>
      </c>
      <c r="D26" s="65">
        <f t="shared" si="2"/>
        <v>0</v>
      </c>
      <c r="E26" s="65">
        <f t="shared" si="1"/>
        <v>0</v>
      </c>
    </row>
    <row r="27" spans="1:5" ht="12.75" hidden="1" outlineLevel="1">
      <c r="A27" s="60">
        <v>5</v>
      </c>
      <c r="B27" s="58" t="s">
        <v>230</v>
      </c>
      <c r="C27" s="64">
        <v>0</v>
      </c>
      <c r="D27" s="65">
        <f t="shared" si="2"/>
        <v>0</v>
      </c>
      <c r="E27" s="65">
        <f t="shared" si="1"/>
        <v>0</v>
      </c>
    </row>
    <row r="28" spans="1:5" ht="12.75" outlineLevel="1">
      <c r="A28" s="60">
        <v>2</v>
      </c>
      <c r="B28" s="61" t="s">
        <v>231</v>
      </c>
      <c r="C28" s="64">
        <f>'表1'!G18</f>
        <v>2651.9253</v>
      </c>
      <c r="D28" s="65">
        <f t="shared" si="2"/>
        <v>2651.9253</v>
      </c>
      <c r="E28" s="65">
        <f t="shared" si="1"/>
        <v>55.48968810332385</v>
      </c>
    </row>
    <row r="29" spans="1:5" ht="12.75" hidden="1" outlineLevel="1">
      <c r="A29" s="60">
        <v>2</v>
      </c>
      <c r="B29" s="61" t="s">
        <v>226</v>
      </c>
      <c r="C29" s="64"/>
      <c r="D29" s="65">
        <f t="shared" si="2"/>
        <v>0</v>
      </c>
      <c r="E29" s="65">
        <f t="shared" si="1"/>
        <v>0</v>
      </c>
    </row>
    <row r="30" spans="1:5" ht="12.75" outlineLevel="1">
      <c r="A30" s="60">
        <v>3</v>
      </c>
      <c r="B30" s="58" t="s">
        <v>232</v>
      </c>
      <c r="C30" s="64">
        <f>'表1'!G21</f>
        <v>20.4875</v>
      </c>
      <c r="D30" s="65">
        <f t="shared" si="2"/>
        <v>20.4875</v>
      </c>
      <c r="E30" s="65">
        <f t="shared" si="1"/>
        <v>0.42868665456634375</v>
      </c>
    </row>
    <row r="31" spans="1:5" ht="12.75" outlineLevel="1">
      <c r="A31" s="60">
        <v>4</v>
      </c>
      <c r="B31" s="58" t="s">
        <v>233</v>
      </c>
      <c r="C31" s="64">
        <f>'表1'!G25+'表1'!G31</f>
        <v>336.2867</v>
      </c>
      <c r="D31" s="65">
        <f t="shared" si="2"/>
        <v>336.2867</v>
      </c>
      <c r="E31" s="65">
        <f t="shared" si="1"/>
        <v>7.036564754028342</v>
      </c>
    </row>
    <row r="32" spans="1:5" ht="12.75" outlineLevel="1">
      <c r="A32" s="60">
        <v>5</v>
      </c>
      <c r="B32" s="58" t="s">
        <v>234</v>
      </c>
      <c r="C32" s="64">
        <f>'表1'!G35+'表1'!G38+'表1'!G41</f>
        <v>130.771</v>
      </c>
      <c r="D32" s="65">
        <f t="shared" si="2"/>
        <v>130.771</v>
      </c>
      <c r="E32" s="65">
        <f t="shared" si="1"/>
        <v>2.7362920075311936</v>
      </c>
    </row>
    <row r="33" spans="1:5" ht="12.75" hidden="1" outlineLevel="1">
      <c r="A33" s="60">
        <v>7</v>
      </c>
      <c r="B33" s="58" t="s">
        <v>235</v>
      </c>
      <c r="C33" s="64"/>
      <c r="D33" s="65">
        <f t="shared" si="2"/>
        <v>0</v>
      </c>
      <c r="E33" s="65">
        <f t="shared" si="1"/>
        <v>0</v>
      </c>
    </row>
    <row r="34" spans="1:5" ht="12.75" hidden="1" outlineLevel="1">
      <c r="A34" s="60">
        <v>9</v>
      </c>
      <c r="B34" s="61" t="s">
        <v>236</v>
      </c>
      <c r="C34" s="64"/>
      <c r="D34" s="65">
        <f t="shared" si="2"/>
        <v>0</v>
      </c>
      <c r="E34" s="65">
        <f t="shared" si="1"/>
        <v>0</v>
      </c>
    </row>
    <row r="35" spans="1:5" ht="12.75" hidden="1" outlineLevel="1">
      <c r="A35" s="60">
        <v>9</v>
      </c>
      <c r="B35" s="61" t="s">
        <v>237</v>
      </c>
      <c r="C35" s="64"/>
      <c r="D35" s="65">
        <f t="shared" si="2"/>
        <v>0</v>
      </c>
      <c r="E35" s="65">
        <f t="shared" si="1"/>
        <v>0</v>
      </c>
    </row>
    <row r="36" spans="1:5" ht="12.75" hidden="1" outlineLevel="1">
      <c r="A36" s="60">
        <v>9</v>
      </c>
      <c r="B36" s="61" t="s">
        <v>238</v>
      </c>
      <c r="C36" s="64"/>
      <c r="D36" s="65">
        <f t="shared" si="2"/>
        <v>0</v>
      </c>
      <c r="E36" s="65">
        <f t="shared" si="1"/>
        <v>0</v>
      </c>
    </row>
    <row r="37" spans="1:5" ht="12.75" hidden="1" outlineLevel="1">
      <c r="A37" s="60">
        <v>9</v>
      </c>
      <c r="B37" s="61" t="s">
        <v>239</v>
      </c>
      <c r="C37" s="64"/>
      <c r="D37" s="65">
        <f t="shared" si="2"/>
        <v>0</v>
      </c>
      <c r="E37" s="65">
        <f t="shared" si="1"/>
        <v>0</v>
      </c>
    </row>
    <row r="38" spans="1:5" ht="12.75" outlineLevel="1">
      <c r="A38" s="60">
        <v>6</v>
      </c>
      <c r="B38" s="61" t="s">
        <v>240</v>
      </c>
      <c r="C38" s="64">
        <f>'表1'!G44</f>
        <v>20.4758</v>
      </c>
      <c r="D38" s="65">
        <f t="shared" si="2"/>
        <v>20.4758</v>
      </c>
      <c r="E38" s="65">
        <f t="shared" si="1"/>
        <v>0.42844184022304044</v>
      </c>
    </row>
    <row r="39" spans="1:5" ht="12.75" hidden="1" outlineLevel="1">
      <c r="A39" s="60">
        <v>7</v>
      </c>
      <c r="B39" s="61" t="s">
        <v>241</v>
      </c>
      <c r="C39" s="64"/>
      <c r="D39" s="65">
        <f t="shared" si="2"/>
        <v>0</v>
      </c>
      <c r="E39" s="65">
        <f t="shared" si="1"/>
        <v>0</v>
      </c>
    </row>
    <row r="40" spans="1:5" ht="13.5" customHeight="1" outlineLevel="1">
      <c r="A40" s="60">
        <v>7</v>
      </c>
      <c r="B40" s="61" t="s">
        <v>9</v>
      </c>
      <c r="C40" s="64">
        <f>'表1'!F100+'表1'!F103+'表1'!F97</f>
        <v>1240.4029461760038</v>
      </c>
      <c r="D40" s="65">
        <f t="shared" si="2"/>
        <v>1240.4029461760038</v>
      </c>
      <c r="E40" s="65">
        <f t="shared" si="1"/>
        <v>25.954566897397317</v>
      </c>
    </row>
    <row r="41" spans="1:5" ht="12.75" outlineLevel="1">
      <c r="A41" s="60"/>
      <c r="B41" s="61" t="s">
        <v>242</v>
      </c>
      <c r="C41" s="65">
        <f>C22+C28+C30+C31+C32+C38+C40+C39</f>
        <v>4779.1317461760045</v>
      </c>
      <c r="D41" s="65">
        <f>D22+D28+D30+D31+D32+D38+D40+D39</f>
        <v>4779.1317461760045</v>
      </c>
      <c r="E41" s="65">
        <f>E22+E28+E30+E31+E32+E38+E40+E39</f>
        <v>99.99999999999997</v>
      </c>
    </row>
    <row r="42" spans="1:5" ht="12.75">
      <c r="A42" s="60"/>
      <c r="B42" s="61" t="s">
        <v>210</v>
      </c>
      <c r="C42" s="66">
        <v>100</v>
      </c>
      <c r="D42" s="61"/>
      <c r="E42" s="61"/>
    </row>
    <row r="44" ht="14.25">
      <c r="E44" s="67"/>
    </row>
    <row r="47" spans="7:12" ht="14.25">
      <c r="G47" s="68" t="s">
        <v>243</v>
      </c>
      <c r="H47" s="68" t="s">
        <v>244</v>
      </c>
      <c r="I47" s="68" t="s">
        <v>245</v>
      </c>
      <c r="J47" s="68"/>
      <c r="K47" s="68" t="s">
        <v>246</v>
      </c>
      <c r="L47" s="68" t="s">
        <v>5</v>
      </c>
    </row>
    <row r="48" spans="7:12" ht="14.25">
      <c r="G48" s="68" t="s">
        <v>19</v>
      </c>
      <c r="H48" s="69">
        <v>105.16577770000002</v>
      </c>
      <c r="I48" s="69">
        <f>'表1'!G6</f>
        <v>239.07979999999998</v>
      </c>
      <c r="J48" s="69">
        <f>I48-H48</f>
        <v>133.91402229999994</v>
      </c>
      <c r="K48" s="72">
        <f aca="true" t="shared" si="3" ref="K48:K57">(I48-H48)/H48</f>
        <v>1.273361213397844</v>
      </c>
      <c r="L48" s="68" t="s">
        <v>247</v>
      </c>
    </row>
    <row r="49" spans="2:12" ht="14.25">
      <c r="B49" s="70"/>
      <c r="C49" s="71"/>
      <c r="D49" s="71"/>
      <c r="E49" s="71"/>
      <c r="G49" s="68" t="s">
        <v>33</v>
      </c>
      <c r="H49" s="69">
        <v>43.340893</v>
      </c>
      <c r="I49" s="69">
        <f>'表1'!G14</f>
        <v>139.7027</v>
      </c>
      <c r="J49" s="69">
        <f aca="true" t="shared" si="4" ref="J49:J57">I49-H49</f>
        <v>96.361807</v>
      </c>
      <c r="K49" s="72">
        <f t="shared" si="3"/>
        <v>2.2233461364074802</v>
      </c>
      <c r="L49" s="68" t="s">
        <v>248</v>
      </c>
    </row>
    <row r="50" spans="2:12" ht="14.25">
      <c r="B50" s="70"/>
      <c r="C50" s="71"/>
      <c r="D50" s="71"/>
      <c r="E50" s="71"/>
      <c r="G50" s="68" t="s">
        <v>39</v>
      </c>
      <c r="H50" s="69">
        <v>2655.680329176</v>
      </c>
      <c r="I50" s="69">
        <f>'表1'!G18</f>
        <v>2651.9253</v>
      </c>
      <c r="J50" s="69">
        <f t="shared" si="4"/>
        <v>-3.7550291760003347</v>
      </c>
      <c r="K50" s="72">
        <f t="shared" si="3"/>
        <v>-0.001413961286961612</v>
      </c>
      <c r="L50" s="68" t="s">
        <v>249</v>
      </c>
    </row>
    <row r="51" spans="7:12" ht="14.25">
      <c r="G51" s="68" t="s">
        <v>250</v>
      </c>
      <c r="H51" s="69">
        <f>5.84+19.02+2.21</f>
        <v>27.07</v>
      </c>
      <c r="I51" s="69">
        <f>'表1'!G21+'表1'!G25+'表1'!G31</f>
        <v>356.77420000000006</v>
      </c>
      <c r="J51" s="69">
        <f t="shared" si="4"/>
        <v>329.70420000000007</v>
      </c>
      <c r="K51" s="72">
        <f t="shared" si="3"/>
        <v>12.179689693387516</v>
      </c>
      <c r="L51" s="68" t="s">
        <v>251</v>
      </c>
    </row>
    <row r="52" spans="7:12" ht="14.25">
      <c r="G52" s="68" t="s">
        <v>252</v>
      </c>
      <c r="H52" s="69">
        <v>0</v>
      </c>
      <c r="I52" s="69">
        <f>'表1'!G35+'表1'!G38+'表1'!G41</f>
        <v>130.771</v>
      </c>
      <c r="J52" s="69">
        <f t="shared" si="4"/>
        <v>130.771</v>
      </c>
      <c r="K52" s="72">
        <v>1</v>
      </c>
      <c r="L52" s="73" t="s">
        <v>253</v>
      </c>
    </row>
    <row r="53" spans="7:12" ht="14.25">
      <c r="G53" s="68" t="s">
        <v>70</v>
      </c>
      <c r="H53" s="69">
        <v>47.18</v>
      </c>
      <c r="I53" s="69">
        <f>'表1'!G44</f>
        <v>20.4758</v>
      </c>
      <c r="J53" s="69">
        <f t="shared" si="4"/>
        <v>-26.7042</v>
      </c>
      <c r="K53" s="72">
        <f t="shared" si="3"/>
        <v>-0.5660067825349725</v>
      </c>
      <c r="L53" s="68" t="s">
        <v>249</v>
      </c>
    </row>
    <row r="54" spans="7:12" ht="14.25">
      <c r="G54" s="68" t="s">
        <v>15</v>
      </c>
      <c r="H54" s="69">
        <f>SUM(H48:H53)</f>
        <v>2878.4369998760003</v>
      </c>
      <c r="I54" s="69">
        <f>SUM(I48:I53)</f>
        <v>3538.7288000000003</v>
      </c>
      <c r="J54" s="69">
        <f t="shared" si="4"/>
        <v>660.291800124</v>
      </c>
      <c r="K54" s="72">
        <f t="shared" si="3"/>
        <v>0.22939247937420365</v>
      </c>
      <c r="L54" s="68"/>
    </row>
    <row r="55" spans="7:12" ht="14.25">
      <c r="G55" s="68" t="s">
        <v>78</v>
      </c>
      <c r="H55" s="69">
        <v>4763.751726308239</v>
      </c>
      <c r="I55" s="69">
        <f>工程建设其他费</f>
        <v>1123.7311477436929</v>
      </c>
      <c r="J55" s="69">
        <f t="shared" si="4"/>
        <v>-3640.020578564546</v>
      </c>
      <c r="K55" s="72">
        <f t="shared" si="3"/>
        <v>-0.76410795265887</v>
      </c>
      <c r="L55" s="68" t="s">
        <v>254</v>
      </c>
    </row>
    <row r="56" spans="7:12" ht="14.25">
      <c r="G56" s="68" t="s">
        <v>125</v>
      </c>
      <c r="H56" s="69">
        <v>229.2655662595272</v>
      </c>
      <c r="I56" s="69">
        <f>预备费</f>
        <v>116.67179843231077</v>
      </c>
      <c r="J56" s="69">
        <f t="shared" si="4"/>
        <v>-112.59376782721642</v>
      </c>
      <c r="K56" s="72">
        <f t="shared" si="3"/>
        <v>-0.4911063168542326</v>
      </c>
      <c r="L56" s="68" t="s">
        <v>255</v>
      </c>
    </row>
    <row r="57" spans="7:12" ht="14.25">
      <c r="G57" s="68" t="s">
        <v>256</v>
      </c>
      <c r="H57" s="69">
        <f>H54+H55+H56</f>
        <v>7871.4542924437665</v>
      </c>
      <c r="I57" s="69">
        <f>I54+I55+I56</f>
        <v>4779.131746176004</v>
      </c>
      <c r="J57" s="69">
        <f t="shared" si="4"/>
        <v>-3092.322546267763</v>
      </c>
      <c r="K57" s="72">
        <f t="shared" si="3"/>
        <v>-0.3928527602880512</v>
      </c>
      <c r="L57" s="68"/>
    </row>
  </sheetData>
  <sheetProtection sort="0" autoFilter="0"/>
  <mergeCells count="9">
    <mergeCell ref="A2:D2"/>
    <mergeCell ref="A19:D19"/>
    <mergeCell ref="A3:A4"/>
    <mergeCell ref="C3:C4"/>
    <mergeCell ref="C20:C21"/>
    <mergeCell ref="D3:D4"/>
    <mergeCell ref="D20:D21"/>
    <mergeCell ref="E3:E4"/>
    <mergeCell ref="E20:E21"/>
  </mergeCells>
  <conditionalFormatting sqref="G50:L50">
    <cfRule type="expression" priority="1" dxfId="0" stopIfTrue="1">
      <formula>CELL("address")=ADDRESS(ROW(),COLUMN())</formula>
    </cfRule>
  </conditionalFormatting>
  <conditionalFormatting sqref="A1:IV46 A58:IV65536 A47:F49 M47:IV49 M51:IV57 A51:F57">
    <cfRule type="expression" priority="7" dxfId="0" stopIfTrue="1">
      <formula>CELL("address")=ADDRESS(ROW(),COLUMN())</formula>
    </cfRule>
  </conditionalFormatting>
  <conditionalFormatting sqref="G47:L49 G51:L51 G53:L57 G52:K52">
    <cfRule type="expression" priority="3" dxfId="0" stopIfTrue="1">
      <formula>CELL("address")=ADDRESS(ROW(),COLUMN())</formula>
    </cfRule>
  </conditionalFormatting>
  <conditionalFormatting sqref="A50:F50 M50:IV50">
    <cfRule type="expression" priority="2" dxfId="0" stopIfTrue="1">
      <formula>CELL("address")=ADDRESS(ROW(),COLUMN())</formula>
    </cfRule>
  </conditionalFormatting>
  <dataValidations count="2">
    <dataValidation type="list" allowBlank="1" showInputMessage="1" showErrorMessage="1" sqref="B27">
      <formula1>"通风专业,通风空调专业"</formula1>
    </dataValidation>
    <dataValidation type="list" allowBlank="1" showInputMessage="1" showErrorMessage="1" sqref="B30">
      <formula1>"给水专业,给排水专业"</formula1>
    </dataValidation>
  </dataValidations>
  <printOptions/>
  <pageMargins left="1.31" right="0.75" top="1.18" bottom="0.7900000000000001" header="0.5" footer="0.56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O47"/>
  <sheetViews>
    <sheetView workbookViewId="0" topLeftCell="A1">
      <selection activeCell="H6" sqref="D6:H6"/>
    </sheetView>
  </sheetViews>
  <sheetFormatPr defaultColWidth="10.28125" defaultRowHeight="12.75"/>
  <cols>
    <col min="1" max="1" width="1.8515625" style="16" customWidth="1"/>
    <col min="2" max="2" width="10.28125" style="16" customWidth="1"/>
    <col min="3" max="3" width="15.421875" style="16" customWidth="1"/>
    <col min="4" max="6" width="12.140625" style="16" customWidth="1"/>
    <col min="7" max="8" width="12.28125" style="16" customWidth="1"/>
    <col min="9" max="9" width="12.57421875" style="16" bestFit="1" customWidth="1"/>
    <col min="10" max="10" width="10.28125" style="16" customWidth="1"/>
    <col min="11" max="13" width="11.00390625" style="16" bestFit="1" customWidth="1"/>
    <col min="14" max="14" width="10.28125" style="16" customWidth="1"/>
    <col min="15" max="15" width="11.00390625" style="16" bestFit="1" customWidth="1"/>
    <col min="16" max="16384" width="10.28125" style="16" customWidth="1"/>
  </cols>
  <sheetData>
    <row r="1" ht="12"/>
    <row r="2" ht="12"/>
    <row r="3" spans="2:8" ht="24.75" customHeight="1">
      <c r="B3" s="17" t="s">
        <v>257</v>
      </c>
      <c r="C3" s="17"/>
      <c r="D3" s="17"/>
      <c r="E3" s="17"/>
      <c r="F3" s="17"/>
      <c r="G3" s="17"/>
      <c r="H3" s="18" t="s">
        <v>258</v>
      </c>
    </row>
    <row r="4" spans="2:8" ht="24.75" customHeight="1">
      <c r="B4" s="19"/>
      <c r="C4" s="20" t="s">
        <v>259</v>
      </c>
      <c r="D4" s="21" t="s">
        <v>260</v>
      </c>
      <c r="E4" s="21" t="s">
        <v>261</v>
      </c>
      <c r="F4" s="21" t="s">
        <v>262</v>
      </c>
      <c r="G4" s="21" t="s">
        <v>263</v>
      </c>
      <c r="H4" s="21" t="s">
        <v>264</v>
      </c>
    </row>
    <row r="5" spans="2:8" ht="24.75" customHeight="1">
      <c r="B5" s="22"/>
      <c r="C5" s="23"/>
      <c r="D5" s="21"/>
      <c r="E5" s="21"/>
      <c r="F5" s="21"/>
      <c r="G5" s="21"/>
      <c r="H5" s="21"/>
    </row>
    <row r="6" spans="2:8" ht="24.75" customHeight="1">
      <c r="B6" s="24" t="s">
        <v>265</v>
      </c>
      <c r="C6" s="24"/>
      <c r="D6" s="25">
        <v>3616</v>
      </c>
      <c r="E6" s="25">
        <v>1086</v>
      </c>
      <c r="F6" s="25">
        <v>48</v>
      </c>
      <c r="G6" s="25">
        <v>648</v>
      </c>
      <c r="H6" s="26">
        <v>79</v>
      </c>
    </row>
    <row r="7" spans="5:8" ht="46.5" customHeight="1">
      <c r="E7" s="27"/>
      <c r="F7" s="28"/>
      <c r="G7" s="28"/>
      <c r="H7" s="28"/>
    </row>
    <row r="8" spans="4:7" ht="34.5" customHeight="1" hidden="1">
      <c r="D8" s="16">
        <f>(16094273.150372+78397.401285+1083041.1464+121365207.821518)/1000</f>
        <v>138620.919519575</v>
      </c>
      <c r="F8" s="28"/>
      <c r="G8" s="16">
        <f>22158+2406</f>
        <v>24564</v>
      </c>
    </row>
    <row r="9" ht="12" hidden="1">
      <c r="F9" s="28"/>
    </row>
    <row r="10" ht="12" hidden="1">
      <c r="F10" s="28"/>
    </row>
    <row r="11" ht="12" hidden="1">
      <c r="F11" s="28"/>
    </row>
    <row r="12" spans="4:6" ht="15" hidden="1">
      <c r="D12" s="29">
        <v>21.1</v>
      </c>
      <c r="E12" s="29">
        <v>78266</v>
      </c>
      <c r="F12" s="30">
        <f>D12*E12/10000</f>
        <v>165.14126000000002</v>
      </c>
    </row>
    <row r="13" spans="4:6" ht="15" hidden="1">
      <c r="D13" s="29">
        <v>76.7</v>
      </c>
      <c r="E13" s="29">
        <v>65000</v>
      </c>
      <c r="F13" s="30">
        <f>D13*E13/10000</f>
        <v>498.55</v>
      </c>
    </row>
    <row r="14" spans="4:6" ht="15" hidden="1">
      <c r="D14" s="29">
        <v>49</v>
      </c>
      <c r="E14" s="29">
        <v>47000</v>
      </c>
      <c r="F14" s="30">
        <f>D14*E14/10000</f>
        <v>230.3</v>
      </c>
    </row>
    <row r="15" spans="4:6" ht="15" hidden="1">
      <c r="D15" s="29">
        <v>61.3</v>
      </c>
      <c r="E15" s="29">
        <v>19333</v>
      </c>
      <c r="F15" s="30">
        <f>D15*E15/10000</f>
        <v>118.51128999999999</v>
      </c>
    </row>
    <row r="16" spans="4:6" ht="12" hidden="1">
      <c r="D16" s="31">
        <f>SUM(D12:D15)</f>
        <v>208.10000000000002</v>
      </c>
      <c r="E16" s="31"/>
      <c r="F16" s="30">
        <f>SUM(F12:F15)</f>
        <v>1012.50255</v>
      </c>
    </row>
    <row r="17" ht="12" hidden="1">
      <c r="F17" s="28"/>
    </row>
    <row r="18" ht="12.75" hidden="1">
      <c r="F18" s="28"/>
    </row>
    <row r="19" spans="4:8" ht="15" hidden="1">
      <c r="D19" s="32" t="s">
        <v>266</v>
      </c>
      <c r="E19" s="29">
        <v>45</v>
      </c>
      <c r="F19" s="33">
        <v>1770</v>
      </c>
      <c r="G19" s="31">
        <f>E19*F19/10000</f>
        <v>7.965</v>
      </c>
      <c r="H19" s="31"/>
    </row>
    <row r="20" spans="4:8" ht="15" hidden="1">
      <c r="D20" s="34" t="s">
        <v>267</v>
      </c>
      <c r="E20" s="29">
        <v>209</v>
      </c>
      <c r="F20" s="35">
        <v>1710</v>
      </c>
      <c r="G20" s="31">
        <f>E20*F20/10000</f>
        <v>35.739</v>
      </c>
      <c r="H20" s="31"/>
    </row>
    <row r="21" spans="4:8" ht="15" hidden="1">
      <c r="D21" s="34" t="s">
        <v>268</v>
      </c>
      <c r="E21" s="29">
        <v>369</v>
      </c>
      <c r="F21" s="35">
        <v>1350</v>
      </c>
      <c r="G21" s="31">
        <f>E21*F21/10000</f>
        <v>49.815</v>
      </c>
      <c r="H21" s="31"/>
    </row>
    <row r="22" spans="6:8" ht="12" hidden="1">
      <c r="F22" s="28"/>
      <c r="G22" s="31">
        <f>SUM(G19:G21)</f>
        <v>93.51899999999999</v>
      </c>
      <c r="H22" s="31"/>
    </row>
    <row r="23" spans="6:10" ht="12">
      <c r="F23" s="28"/>
      <c r="J23" s="27"/>
    </row>
    <row r="24" spans="7:10" ht="12" hidden="1">
      <c r="G24" s="28"/>
      <c r="H24" s="28"/>
      <c r="J24" s="27"/>
    </row>
    <row r="25" ht="12" hidden="1">
      <c r="I25" s="28"/>
    </row>
    <row r="26" spans="5:12" s="15" customFormat="1" ht="12" hidden="1">
      <c r="E26" s="36"/>
      <c r="L26" s="15" t="s">
        <v>269</v>
      </c>
    </row>
    <row r="27" spans="5:15" s="15" customFormat="1" ht="12" hidden="1">
      <c r="E27" s="36"/>
      <c r="I27" s="15" t="s">
        <v>270</v>
      </c>
      <c r="L27" s="15">
        <v>54570.08</v>
      </c>
      <c r="O27" s="15">
        <v>3271.66</v>
      </c>
    </row>
    <row r="28" spans="5:8" s="15" customFormat="1" ht="12" hidden="1">
      <c r="E28" s="36"/>
      <c r="G28" s="37"/>
      <c r="H28" s="37"/>
    </row>
    <row r="29" s="15" customFormat="1" ht="12" hidden="1">
      <c r="E29" s="36"/>
    </row>
    <row r="30" spans="9:15" s="15" customFormat="1" ht="12" customHeight="1" hidden="1">
      <c r="I30" s="42" t="s">
        <v>260</v>
      </c>
      <c r="J30" s="42"/>
      <c r="K30" s="42"/>
      <c r="L30" s="42" t="s">
        <v>271</v>
      </c>
      <c r="M30" s="42" t="s">
        <v>272</v>
      </c>
      <c r="N30" s="42" t="s">
        <v>273</v>
      </c>
      <c r="O30" s="42" t="s">
        <v>274</v>
      </c>
    </row>
    <row r="31" spans="9:15" s="15" customFormat="1" ht="12" hidden="1">
      <c r="I31" s="42"/>
      <c r="J31" s="42"/>
      <c r="K31" s="42"/>
      <c r="L31" s="42"/>
      <c r="M31" s="42"/>
      <c r="N31" s="42"/>
      <c r="O31" s="42"/>
    </row>
    <row r="32" spans="9:15" s="15" customFormat="1" ht="12" hidden="1">
      <c r="I32" s="43">
        <v>41656</v>
      </c>
      <c r="J32" s="43"/>
      <c r="K32" s="43"/>
      <c r="L32" s="43">
        <v>3098</v>
      </c>
      <c r="M32" s="43">
        <v>666</v>
      </c>
      <c r="N32" s="44">
        <v>6188</v>
      </c>
      <c r="O32" s="44">
        <v>185</v>
      </c>
    </row>
    <row r="33" s="15" customFormat="1" ht="12" hidden="1"/>
    <row r="34" s="15" customFormat="1" ht="12" hidden="1"/>
    <row r="35" s="15" customFormat="1" ht="12" hidden="1"/>
    <row r="36" spans="12:15" s="15" customFormat="1" ht="12" hidden="1">
      <c r="L36" s="45">
        <f>工程费用</f>
        <v>3538.7287999999994</v>
      </c>
      <c r="O36" s="45" t="e">
        <f>'表1'!#REF!</f>
        <v>#REF!</v>
      </c>
    </row>
    <row r="37" s="15" customFormat="1" ht="12" hidden="1"/>
    <row r="38" spans="4:14" s="15" customFormat="1" ht="12" customHeight="1" hidden="1">
      <c r="D38" s="38" t="s">
        <v>260</v>
      </c>
      <c r="E38" s="38" t="s">
        <v>261</v>
      </c>
      <c r="F38" s="38" t="s">
        <v>262</v>
      </c>
      <c r="G38" s="38" t="s">
        <v>263</v>
      </c>
      <c r="H38" s="39"/>
      <c r="L38" s="15">
        <v>33733.57</v>
      </c>
      <c r="N38" s="15" t="s">
        <v>275</v>
      </c>
    </row>
    <row r="39" spans="4:8" s="15" customFormat="1" ht="12" customHeight="1" hidden="1">
      <c r="D39" s="38"/>
      <c r="E39" s="38"/>
      <c r="F39" s="38"/>
      <c r="G39" s="38"/>
      <c r="H39" s="39"/>
    </row>
    <row r="40" spans="4:8" s="15" customFormat="1" ht="12" hidden="1">
      <c r="D40" s="40">
        <v>26268.33</v>
      </c>
      <c r="E40" s="40">
        <v>1953.69</v>
      </c>
      <c r="F40" s="40">
        <v>420.223</v>
      </c>
      <c r="G40" s="40">
        <v>3902.18</v>
      </c>
      <c r="H40" s="41"/>
    </row>
    <row r="41" s="15" customFormat="1" ht="12" hidden="1"/>
    <row r="42" s="15" customFormat="1" ht="12" hidden="1"/>
    <row r="43" spans="4:12" s="15" customFormat="1" ht="12" hidden="1">
      <c r="D43" s="15" t="e">
        <f>D40/L38*L43</f>
        <v>#REF!</v>
      </c>
      <c r="E43" s="15" t="e">
        <f>E40/L38*L43</f>
        <v>#REF!</v>
      </c>
      <c r="F43" s="15" t="e">
        <f>F40/L38*L43</f>
        <v>#REF!</v>
      </c>
      <c r="G43" s="15" t="e">
        <f>G40/L38*L43</f>
        <v>#REF!</v>
      </c>
      <c r="L43" s="45" t="e">
        <f>'[7]表1'!G177</f>
        <v>#REF!</v>
      </c>
    </row>
    <row r="44" s="15" customFormat="1" ht="12" hidden="1"/>
    <row r="45" s="15" customFormat="1" ht="12" hidden="1"/>
    <row r="46" s="15" customFormat="1" ht="12" hidden="1"/>
    <row r="47" spans="9:15" s="15" customFormat="1" ht="12" hidden="1">
      <c r="I47" s="15">
        <f>I32/L27*L36</f>
        <v>2701.2840533273907</v>
      </c>
      <c r="L47" s="15">
        <f>L32/L27*L36</f>
        <v>200.89730164221854</v>
      </c>
      <c r="M47" s="15">
        <f>M32/L27*L36</f>
        <v>43.18838053380166</v>
      </c>
      <c r="N47" s="15">
        <f>N32/L27*L36</f>
        <v>401.27582393868573</v>
      </c>
      <c r="O47" s="15" t="e">
        <f>O32/O27*O36</f>
        <v>#REF!</v>
      </c>
    </row>
    <row r="48" ht="12" hidden="1"/>
    <row r="49" ht="12" hidden="1"/>
    <row r="50" ht="12" hidden="1"/>
  </sheetData>
  <sheetProtection/>
  <mergeCells count="18">
    <mergeCell ref="B3:G3"/>
    <mergeCell ref="B6:C6"/>
    <mergeCell ref="D4:D5"/>
    <mergeCell ref="D38:D39"/>
    <mergeCell ref="E4:E5"/>
    <mergeCell ref="E38:E39"/>
    <mergeCell ref="F4:F5"/>
    <mergeCell ref="F38:F39"/>
    <mergeCell ref="G4:G5"/>
    <mergeCell ref="G38:G39"/>
    <mergeCell ref="H4:H5"/>
    <mergeCell ref="I30:I31"/>
    <mergeCell ref="J30:J31"/>
    <mergeCell ref="K30:K31"/>
    <mergeCell ref="L30:L31"/>
    <mergeCell ref="M30:M31"/>
    <mergeCell ref="N30:N31"/>
    <mergeCell ref="O30:O31"/>
  </mergeCells>
  <conditionalFormatting sqref="H3">
    <cfRule type="expression" priority="1" dxfId="2" stopIfTrue="1">
      <formula>CELL("address")=ADDRESS(ROW(),COLUMN())</formula>
    </cfRule>
  </conditionalFormatting>
  <conditionalFormatting sqref="D16:E18 D22:F65536 F4:F18 D4:E11 A4:C65536 A3:B3 A26:IV47 G6:IV65536 G5 I5:IV5 A1:IV2 G4:IV4 I3:IV3">
    <cfRule type="expression" priority="4" dxfId="2" stopIfTrue="1">
      <formula>CELL("address")=ADDRESS(ROW(),COLUMN())</formula>
    </cfRule>
  </conditionalFormatting>
  <printOptions horizontalCentered="1"/>
  <pageMargins left="0.75" right="0.75" top="0.98" bottom="0.98" header="0.51" footer="0.51"/>
  <pageSetup horizontalDpi="600" verticalDpi="600"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G15:K29"/>
  <sheetViews>
    <sheetView workbookViewId="0" topLeftCell="A4">
      <selection activeCell="B20" sqref="B20"/>
    </sheetView>
  </sheetViews>
  <sheetFormatPr defaultColWidth="9.140625" defaultRowHeight="12.75"/>
  <cols>
    <col min="7" max="7" width="10.00390625" style="0" customWidth="1"/>
    <col min="8" max="8" width="9.8515625" style="0" bestFit="1" customWidth="1"/>
    <col min="9" max="9" width="11.8515625" style="0" bestFit="1" customWidth="1"/>
    <col min="11" max="11" width="31.421875" style="0" customWidth="1"/>
  </cols>
  <sheetData>
    <row r="15" spans="7:11" ht="18" customHeight="1">
      <c r="G15" s="8"/>
      <c r="H15" s="9" t="s">
        <v>16</v>
      </c>
      <c r="I15" s="9" t="s">
        <v>276</v>
      </c>
      <c r="J15" s="9" t="s">
        <v>277</v>
      </c>
      <c r="K15" s="9" t="s">
        <v>278</v>
      </c>
    </row>
    <row r="16" spans="7:11" ht="18" customHeight="1">
      <c r="G16" s="10" t="s">
        <v>19</v>
      </c>
      <c r="H16" s="11">
        <f>(3619.1667+10)*H29</f>
        <v>3568.160122451747</v>
      </c>
      <c r="I16" s="11" t="e">
        <f>'表1'!G6+'表1'!#REF!</f>
        <v>#REF!</v>
      </c>
      <c r="J16" s="11" t="e">
        <f>I16-H16</f>
        <v>#REF!</v>
      </c>
      <c r="K16" s="12"/>
    </row>
    <row r="17" spans="7:11" ht="18" customHeight="1">
      <c r="G17" s="10" t="s">
        <v>33</v>
      </c>
      <c r="H17" s="11">
        <f>311.166*H29</f>
        <v>305.9352750764577</v>
      </c>
      <c r="I17" s="11" t="e">
        <f>'表1'!#REF!</f>
        <v>#REF!</v>
      </c>
      <c r="J17" s="11" t="e">
        <f aca="true" t="shared" si="0" ref="J17:J25">I17-H17</f>
        <v>#REF!</v>
      </c>
      <c r="K17" s="12"/>
    </row>
    <row r="18" spans="7:11" ht="18" customHeight="1">
      <c r="G18" s="10" t="s">
        <v>39</v>
      </c>
      <c r="H18" s="11">
        <f>20727.66*H29</f>
        <v>20379.22640581326</v>
      </c>
      <c r="I18" s="11" t="e">
        <f>'表1'!#REF!</f>
        <v>#REF!</v>
      </c>
      <c r="J18" s="11" t="e">
        <f t="shared" si="0"/>
        <v>#REF!</v>
      </c>
      <c r="K18" s="13" t="s">
        <v>279</v>
      </c>
    </row>
    <row r="19" spans="7:11" ht="24">
      <c r="G19" s="10" t="s">
        <v>280</v>
      </c>
      <c r="H19" s="11">
        <f>996.7157736*H29</f>
        <v>979.9609030850426</v>
      </c>
      <c r="I19" s="11"/>
      <c r="J19" s="11">
        <f t="shared" si="0"/>
        <v>-979.9609030850426</v>
      </c>
      <c r="K19" s="14" t="s">
        <v>281</v>
      </c>
    </row>
    <row r="20" spans="7:11" ht="25.5">
      <c r="G20" s="10" t="s">
        <v>250</v>
      </c>
      <c r="H20" s="11">
        <f>753.51*H29</f>
        <v>740.8434376598395</v>
      </c>
      <c r="I20" s="11" t="e">
        <f>'表1'!#REF!+'表1'!#REF!+'表1'!#REF!</f>
        <v>#REF!</v>
      </c>
      <c r="J20" s="11" t="e">
        <f t="shared" si="0"/>
        <v>#REF!</v>
      </c>
      <c r="K20" s="13" t="s">
        <v>282</v>
      </c>
    </row>
    <row r="21" spans="7:11" ht="18" customHeight="1">
      <c r="G21" s="10" t="s">
        <v>252</v>
      </c>
      <c r="H21" s="11">
        <f>1852.32*H29</f>
        <v>1821.1823551725577</v>
      </c>
      <c r="I21" s="11" t="e">
        <f>'表1'!#REF!+'表1'!#REF!+'表1'!#REF!</f>
        <v>#REF!</v>
      </c>
      <c r="J21" s="11" t="e">
        <f t="shared" si="0"/>
        <v>#REF!</v>
      </c>
      <c r="K21" s="12"/>
    </row>
    <row r="22" spans="7:11" ht="18" customHeight="1">
      <c r="G22" s="10" t="s">
        <v>283</v>
      </c>
      <c r="H22" s="11">
        <v>27795.31</v>
      </c>
      <c r="I22" s="11">
        <f>工程费用</f>
        <v>3538.7287999999994</v>
      </c>
      <c r="J22" s="11">
        <f t="shared" si="0"/>
        <v>-24256.5812</v>
      </c>
      <c r="K22" s="12"/>
    </row>
    <row r="23" spans="7:11" ht="18" customHeight="1">
      <c r="G23" s="10" t="s">
        <v>284</v>
      </c>
      <c r="H23" s="11">
        <v>11867.9</v>
      </c>
      <c r="I23" s="11">
        <f>工程建设其他费</f>
        <v>1123.7311477436929</v>
      </c>
      <c r="J23" s="11">
        <f t="shared" si="0"/>
        <v>-10744.168852256307</v>
      </c>
      <c r="K23" s="13" t="s">
        <v>285</v>
      </c>
    </row>
    <row r="24" spans="7:11" ht="18" customHeight="1">
      <c r="G24" s="10" t="s">
        <v>125</v>
      </c>
      <c r="H24" s="11">
        <v>1983.16</v>
      </c>
      <c r="I24" s="11">
        <f>'表1'!G99</f>
        <v>116.67179843231077</v>
      </c>
      <c r="J24" s="11">
        <f t="shared" si="0"/>
        <v>-1866.4882015676894</v>
      </c>
      <c r="K24" s="12"/>
    </row>
    <row r="25" spans="7:11" ht="18" customHeight="1">
      <c r="G25" s="10" t="s">
        <v>256</v>
      </c>
      <c r="H25" s="11">
        <v>41646.37</v>
      </c>
      <c r="I25" s="11">
        <f>工程总投资</f>
        <v>4779.131746176003</v>
      </c>
      <c r="J25" s="11">
        <f t="shared" si="0"/>
        <v>-36867.238253824</v>
      </c>
      <c r="K25" s="12"/>
    </row>
    <row r="29" ht="12.75" hidden="1">
      <c r="H29">
        <f>H22/28270.54</f>
        <v>0.9831899213810561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16:O62"/>
  <sheetViews>
    <sheetView workbookViewId="0" topLeftCell="A10">
      <selection activeCell="E62" sqref="E62"/>
    </sheetView>
  </sheetViews>
  <sheetFormatPr defaultColWidth="9.140625" defaultRowHeight="12.75"/>
  <cols>
    <col min="3" max="3" width="21.00390625" style="4" bestFit="1" customWidth="1"/>
    <col min="4" max="4" width="13.28125" style="0" customWidth="1"/>
    <col min="5" max="5" width="10.421875" style="0" customWidth="1"/>
    <col min="6" max="6" width="13.140625" style="0" bestFit="1" customWidth="1"/>
    <col min="7" max="7" width="13.140625" style="0" customWidth="1"/>
    <col min="8" max="8" width="13.140625" style="0" bestFit="1" customWidth="1"/>
    <col min="10" max="10" width="12.57421875" style="0" customWidth="1"/>
  </cols>
  <sheetData>
    <row r="16" spans="5:13" s="4" customFormat="1" ht="36">
      <c r="E16" s="5" t="s">
        <v>286</v>
      </c>
      <c r="F16" s="5" t="s">
        <v>287</v>
      </c>
      <c r="G16" s="5" t="s">
        <v>288</v>
      </c>
      <c r="H16" s="5" t="s">
        <v>289</v>
      </c>
      <c r="I16" s="5" t="s">
        <v>290</v>
      </c>
      <c r="J16" s="5" t="s">
        <v>291</v>
      </c>
      <c r="K16" s="5" t="s">
        <v>292</v>
      </c>
      <c r="L16" s="5" t="s">
        <v>292</v>
      </c>
      <c r="M16" s="5" t="s">
        <v>265</v>
      </c>
    </row>
    <row r="17" spans="3:13" ht="12.75">
      <c r="C17" s="4" t="s">
        <v>293</v>
      </c>
      <c r="D17" s="2" t="s">
        <v>294</v>
      </c>
      <c r="E17">
        <v>150</v>
      </c>
      <c r="F17">
        <v>900</v>
      </c>
      <c r="G17" s="6">
        <v>0.95</v>
      </c>
      <c r="H17">
        <v>600</v>
      </c>
      <c r="I17">
        <v>6</v>
      </c>
      <c r="J17">
        <f aca="true" t="shared" si="0" ref="J17:J22">8*24</f>
        <v>192</v>
      </c>
      <c r="K17">
        <v>50</v>
      </c>
      <c r="M17" s="7">
        <f aca="true" t="shared" si="1" ref="M17:M22">E17+F17*G17+H17+I17+J17+K17</f>
        <v>1853</v>
      </c>
    </row>
    <row r="18" spans="4:13" ht="12.75">
      <c r="D18" s="2" t="s">
        <v>295</v>
      </c>
      <c r="E18">
        <v>150</v>
      </c>
      <c r="F18">
        <v>630</v>
      </c>
      <c r="G18" s="6">
        <v>0.95</v>
      </c>
      <c r="H18">
        <v>500</v>
      </c>
      <c r="I18">
        <v>6</v>
      </c>
      <c r="J18">
        <f t="shared" si="0"/>
        <v>192</v>
      </c>
      <c r="K18">
        <v>50</v>
      </c>
      <c r="M18" s="7">
        <f t="shared" si="1"/>
        <v>1496.5</v>
      </c>
    </row>
    <row r="19" spans="4:13" ht="12.75">
      <c r="D19" s="2" t="s">
        <v>296</v>
      </c>
      <c r="E19">
        <v>150</v>
      </c>
      <c r="F19">
        <v>540</v>
      </c>
      <c r="G19" s="6">
        <v>0.95</v>
      </c>
      <c r="H19">
        <v>400</v>
      </c>
      <c r="I19">
        <v>6</v>
      </c>
      <c r="J19">
        <f t="shared" si="0"/>
        <v>192</v>
      </c>
      <c r="K19">
        <v>50</v>
      </c>
      <c r="M19" s="7">
        <f t="shared" si="1"/>
        <v>1311</v>
      </c>
    </row>
    <row r="20" spans="4:13" ht="12.75">
      <c r="D20" s="2" t="s">
        <v>297</v>
      </c>
      <c r="E20">
        <v>150</v>
      </c>
      <c r="F20">
        <v>790</v>
      </c>
      <c r="G20" s="6">
        <v>0.95</v>
      </c>
      <c r="H20">
        <v>300</v>
      </c>
      <c r="I20">
        <v>6</v>
      </c>
      <c r="J20">
        <f t="shared" si="0"/>
        <v>192</v>
      </c>
      <c r="K20">
        <v>50</v>
      </c>
      <c r="M20" s="7">
        <f t="shared" si="1"/>
        <v>1448.5</v>
      </c>
    </row>
    <row r="21" spans="4:13" ht="12.75">
      <c r="D21" s="2" t="s">
        <v>298</v>
      </c>
      <c r="E21">
        <v>150</v>
      </c>
      <c r="F21">
        <v>360</v>
      </c>
      <c r="G21" s="6">
        <v>0.95</v>
      </c>
      <c r="H21">
        <v>200</v>
      </c>
      <c r="I21">
        <v>6</v>
      </c>
      <c r="J21">
        <f t="shared" si="0"/>
        <v>192</v>
      </c>
      <c r="K21">
        <v>50</v>
      </c>
      <c r="M21" s="7">
        <f t="shared" si="1"/>
        <v>940</v>
      </c>
    </row>
    <row r="22" spans="4:13" ht="12.75">
      <c r="D22" s="2" t="s">
        <v>299</v>
      </c>
      <c r="E22">
        <v>150</v>
      </c>
      <c r="F22">
        <v>260</v>
      </c>
      <c r="G22" s="6">
        <v>0.95</v>
      </c>
      <c r="H22">
        <v>100</v>
      </c>
      <c r="I22">
        <v>6</v>
      </c>
      <c r="J22">
        <f t="shared" si="0"/>
        <v>192</v>
      </c>
      <c r="K22">
        <v>50</v>
      </c>
      <c r="M22" s="7">
        <f t="shared" si="1"/>
        <v>745</v>
      </c>
    </row>
    <row r="28" spans="3:7" ht="12.75">
      <c r="C28" s="4" t="s">
        <v>300</v>
      </c>
      <c r="D28" s="2" t="s">
        <v>294</v>
      </c>
      <c r="F28">
        <v>1200</v>
      </c>
      <c r="G28" s="6">
        <v>0.95</v>
      </c>
    </row>
    <row r="29" spans="4:7" ht="12.75">
      <c r="D29" s="2" t="s">
        <v>295</v>
      </c>
      <c r="F29">
        <v>800</v>
      </c>
      <c r="G29" s="6">
        <v>0.95</v>
      </c>
    </row>
    <row r="30" spans="4:7" ht="12.75">
      <c r="D30" s="2" t="s">
        <v>296</v>
      </c>
      <c r="F30">
        <v>700</v>
      </c>
      <c r="G30" s="6">
        <v>0.95</v>
      </c>
    </row>
    <row r="31" spans="4:7" ht="12.75">
      <c r="D31" s="2" t="s">
        <v>297</v>
      </c>
      <c r="F31">
        <v>1000</v>
      </c>
      <c r="G31" s="6">
        <v>0.95</v>
      </c>
    </row>
    <row r="32" spans="4:7" ht="12.75">
      <c r="D32" s="2" t="s">
        <v>298</v>
      </c>
      <c r="F32">
        <v>450</v>
      </c>
      <c r="G32" s="6">
        <v>0.95</v>
      </c>
    </row>
    <row r="33" spans="4:7" ht="12.75">
      <c r="D33" s="2" t="s">
        <v>299</v>
      </c>
      <c r="F33">
        <v>300</v>
      </c>
      <c r="G33" s="6">
        <v>0.95</v>
      </c>
    </row>
    <row r="38" spans="6:15" s="4" customFormat="1" ht="24">
      <c r="F38" s="5" t="s">
        <v>301</v>
      </c>
      <c r="G38" s="5" t="s">
        <v>288</v>
      </c>
      <c r="H38" s="5" t="s">
        <v>302</v>
      </c>
      <c r="I38" s="5" t="s">
        <v>303</v>
      </c>
      <c r="J38" s="5" t="s">
        <v>304</v>
      </c>
      <c r="K38" s="5" t="s">
        <v>305</v>
      </c>
      <c r="L38" s="5" t="s">
        <v>292</v>
      </c>
      <c r="O38" s="5" t="s">
        <v>306</v>
      </c>
    </row>
    <row r="39" spans="3:15" ht="24">
      <c r="C39" s="5" t="s">
        <v>307</v>
      </c>
      <c r="D39" s="2" t="s">
        <v>308</v>
      </c>
      <c r="F39">
        <v>1200</v>
      </c>
      <c r="G39" s="6">
        <v>0.95</v>
      </c>
      <c r="H39">
        <v>900</v>
      </c>
      <c r="I39" s="6">
        <v>0.98</v>
      </c>
      <c r="J39">
        <v>15</v>
      </c>
      <c r="K39">
        <f>6*10</f>
        <v>60</v>
      </c>
      <c r="L39">
        <v>4800</v>
      </c>
      <c r="M39" s="7">
        <f>F39*G39+H39*I39+J39+K39+L39</f>
        <v>6897</v>
      </c>
      <c r="O39">
        <v>4800</v>
      </c>
    </row>
    <row r="40" spans="4:15" ht="12.75">
      <c r="D40" s="2" t="s">
        <v>295</v>
      </c>
      <c r="F40">
        <v>1000</v>
      </c>
      <c r="G40" s="6">
        <v>0.95</v>
      </c>
      <c r="H40">
        <v>800</v>
      </c>
      <c r="I40" s="6">
        <v>0.98</v>
      </c>
      <c r="J40">
        <v>15</v>
      </c>
      <c r="K40">
        <f aca="true" t="shared" si="2" ref="K40:K46">6*10</f>
        <v>60</v>
      </c>
      <c r="L40">
        <v>4800</v>
      </c>
      <c r="M40" s="7">
        <f aca="true" t="shared" si="3" ref="M40:M46">F40*G40+H40*I40+J40+K40+L40</f>
        <v>6609</v>
      </c>
      <c r="O40">
        <v>4800</v>
      </c>
    </row>
    <row r="41" spans="4:15" ht="12.75">
      <c r="D41" s="2" t="s">
        <v>309</v>
      </c>
      <c r="F41">
        <v>710</v>
      </c>
      <c r="G41" s="6">
        <v>0.95</v>
      </c>
      <c r="H41">
        <v>700</v>
      </c>
      <c r="I41" s="6">
        <v>0.98</v>
      </c>
      <c r="J41">
        <v>15</v>
      </c>
      <c r="K41">
        <f t="shared" si="2"/>
        <v>60</v>
      </c>
      <c r="L41">
        <v>4800</v>
      </c>
      <c r="M41" s="7">
        <f t="shared" si="3"/>
        <v>6235.5</v>
      </c>
      <c r="O41">
        <v>4800</v>
      </c>
    </row>
    <row r="42" spans="4:15" ht="12.75">
      <c r="D42" s="2" t="s">
        <v>310</v>
      </c>
      <c r="F42">
        <v>610</v>
      </c>
      <c r="G42" s="6">
        <v>0.95</v>
      </c>
      <c r="H42">
        <v>600</v>
      </c>
      <c r="I42" s="6">
        <v>0.98</v>
      </c>
      <c r="J42">
        <v>15</v>
      </c>
      <c r="K42">
        <f t="shared" si="2"/>
        <v>60</v>
      </c>
      <c r="L42">
        <v>4800</v>
      </c>
      <c r="M42" s="7">
        <f t="shared" si="3"/>
        <v>6042.5</v>
      </c>
      <c r="O42">
        <v>4800</v>
      </c>
    </row>
    <row r="43" spans="4:15" ht="12.75">
      <c r="D43" s="2" t="s">
        <v>297</v>
      </c>
      <c r="F43">
        <v>1000</v>
      </c>
      <c r="G43" s="6">
        <v>0.95</v>
      </c>
      <c r="H43">
        <v>500</v>
      </c>
      <c r="I43" s="6">
        <v>0.98</v>
      </c>
      <c r="J43">
        <v>15</v>
      </c>
      <c r="K43">
        <f t="shared" si="2"/>
        <v>60</v>
      </c>
      <c r="L43">
        <v>4800</v>
      </c>
      <c r="M43" s="7">
        <f t="shared" si="3"/>
        <v>6315</v>
      </c>
      <c r="O43">
        <v>4800</v>
      </c>
    </row>
    <row r="44" spans="4:15" ht="12.75">
      <c r="D44" s="2" t="s">
        <v>296</v>
      </c>
      <c r="F44">
        <v>700</v>
      </c>
      <c r="G44" s="6">
        <v>0.95</v>
      </c>
      <c r="H44">
        <v>400</v>
      </c>
      <c r="I44" s="6">
        <v>0.98</v>
      </c>
      <c r="J44">
        <v>15</v>
      </c>
      <c r="K44">
        <f t="shared" si="2"/>
        <v>60</v>
      </c>
      <c r="L44">
        <v>4800</v>
      </c>
      <c r="M44" s="7">
        <f t="shared" si="3"/>
        <v>5932</v>
      </c>
      <c r="O44">
        <v>4800</v>
      </c>
    </row>
    <row r="45" spans="4:15" ht="12.75">
      <c r="D45" s="2" t="s">
        <v>298</v>
      </c>
      <c r="F45">
        <v>450</v>
      </c>
      <c r="G45" s="6">
        <v>0.95</v>
      </c>
      <c r="H45">
        <v>300</v>
      </c>
      <c r="I45" s="6">
        <v>0.98</v>
      </c>
      <c r="J45">
        <v>15</v>
      </c>
      <c r="K45">
        <f t="shared" si="2"/>
        <v>60</v>
      </c>
      <c r="L45">
        <v>4800</v>
      </c>
      <c r="M45" s="7">
        <f t="shared" si="3"/>
        <v>5596.5</v>
      </c>
      <c r="O45">
        <v>4800</v>
      </c>
    </row>
    <row r="46" spans="4:15" ht="12.75">
      <c r="D46" s="2" t="s">
        <v>299</v>
      </c>
      <c r="F46">
        <v>300</v>
      </c>
      <c r="G46" s="6">
        <v>0.95</v>
      </c>
      <c r="H46">
        <v>100</v>
      </c>
      <c r="I46" s="6">
        <v>0.98</v>
      </c>
      <c r="J46">
        <v>15</v>
      </c>
      <c r="K46">
        <f t="shared" si="2"/>
        <v>60</v>
      </c>
      <c r="L46">
        <v>4800</v>
      </c>
      <c r="M46" s="7">
        <f t="shared" si="3"/>
        <v>5258</v>
      </c>
      <c r="O46">
        <v>4800</v>
      </c>
    </row>
    <row r="47" ht="12.75">
      <c r="G47" s="6"/>
    </row>
    <row r="48" ht="12.75">
      <c r="G48" s="6"/>
    </row>
    <row r="49" ht="12.75">
      <c r="G49" s="6"/>
    </row>
    <row r="50" ht="12.75">
      <c r="G50" s="6"/>
    </row>
    <row r="54" spans="5:7" ht="12.75">
      <c r="E54" t="s">
        <v>311</v>
      </c>
      <c r="F54" s="2" t="s">
        <v>312</v>
      </c>
      <c r="G54" s="2" t="s">
        <v>313</v>
      </c>
    </row>
    <row r="55" spans="3:7" ht="12.75">
      <c r="C55" s="5" t="s">
        <v>314</v>
      </c>
      <c r="D55" s="2" t="s">
        <v>315</v>
      </c>
      <c r="E55">
        <v>0</v>
      </c>
      <c r="F55" s="7">
        <f>M44</f>
        <v>5932</v>
      </c>
      <c r="G55">
        <f>E55*F55</f>
        <v>0</v>
      </c>
    </row>
    <row r="56" spans="4:7" ht="12.75">
      <c r="D56" s="2" t="s">
        <v>316</v>
      </c>
      <c r="F56" s="7">
        <f>M46</f>
        <v>5258</v>
      </c>
      <c r="G56">
        <f>E56*F56</f>
        <v>0</v>
      </c>
    </row>
    <row r="57" spans="4:7" ht="12.75">
      <c r="D57" s="2" t="s">
        <v>317</v>
      </c>
      <c r="E57">
        <v>26</v>
      </c>
      <c r="F57" s="7">
        <f>M46</f>
        <v>5258</v>
      </c>
      <c r="G57">
        <f>E57*F57</f>
        <v>136708</v>
      </c>
    </row>
    <row r="58" spans="4:7" ht="12.75">
      <c r="D58" s="2" t="s">
        <v>318</v>
      </c>
      <c r="F58" s="7">
        <v>6609</v>
      </c>
      <c r="G58">
        <f>E58*F58</f>
        <v>0</v>
      </c>
    </row>
    <row r="59" spans="4:7" ht="12.75">
      <c r="D59" s="2" t="s">
        <v>319</v>
      </c>
      <c r="F59" s="7">
        <v>5258</v>
      </c>
      <c r="G59">
        <f>E59*F59</f>
        <v>0</v>
      </c>
    </row>
    <row r="60" spans="4:7" ht="12.75">
      <c r="D60" s="2" t="s">
        <v>265</v>
      </c>
      <c r="E60">
        <f>SUM(E55:E59)</f>
        <v>26</v>
      </c>
      <c r="G60">
        <f>SUM(G55:G59)</f>
        <v>136708</v>
      </c>
    </row>
    <row r="61" spans="4:7" ht="12.75">
      <c r="D61" s="2" t="s">
        <v>320</v>
      </c>
      <c r="E61">
        <v>0</v>
      </c>
      <c r="F61">
        <f>O39</f>
        <v>4800</v>
      </c>
      <c r="G61">
        <f>E61*F61</f>
        <v>0</v>
      </c>
    </row>
    <row r="62" ht="12.75">
      <c r="G62">
        <f>G60+G61</f>
        <v>136708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7:L28"/>
  <sheetViews>
    <sheetView workbookViewId="0" topLeftCell="A1">
      <selection activeCell="D17" sqref="D17:F22"/>
    </sheetView>
  </sheetViews>
  <sheetFormatPr defaultColWidth="9.140625" defaultRowHeight="12.75"/>
  <cols>
    <col min="3" max="3" width="19.28125" style="0" customWidth="1"/>
    <col min="5" max="5" width="13.421875" style="0" customWidth="1"/>
    <col min="6" max="6" width="12.00390625" style="0" bestFit="1" customWidth="1"/>
  </cols>
  <sheetData>
    <row r="7" spans="3:6" ht="12.75">
      <c r="C7" t="s">
        <v>321</v>
      </c>
      <c r="D7">
        <v>0</v>
      </c>
      <c r="F7" s="1">
        <f>D7*E7/10000</f>
        <v>0</v>
      </c>
    </row>
    <row r="8" spans="3:6" ht="12.75">
      <c r="C8" t="s">
        <v>322</v>
      </c>
      <c r="D8">
        <v>0</v>
      </c>
      <c r="F8" s="1">
        <f aca="true" t="shared" si="0" ref="F8:F13">D8*E8/10000</f>
        <v>0</v>
      </c>
    </row>
    <row r="9" spans="3:6" ht="12.75">
      <c r="C9" t="s">
        <v>323</v>
      </c>
      <c r="D9" s="1">
        <f>248/L15</f>
        <v>176.21052631578948</v>
      </c>
      <c r="F9" s="1">
        <f t="shared" si="0"/>
        <v>0</v>
      </c>
    </row>
    <row r="10" spans="3:6" ht="12.75">
      <c r="C10" t="s">
        <v>324</v>
      </c>
      <c r="D10" s="1">
        <v>0</v>
      </c>
      <c r="F10" s="1">
        <f t="shared" si="0"/>
        <v>0</v>
      </c>
    </row>
    <row r="11" spans="3:6" ht="12.75">
      <c r="C11" t="s">
        <v>325</v>
      </c>
      <c r="D11" s="1">
        <f>30/L15</f>
        <v>21.31578947368421</v>
      </c>
      <c r="F11" s="1">
        <f t="shared" si="0"/>
        <v>0</v>
      </c>
    </row>
    <row r="12" spans="3:6" ht="12.75">
      <c r="C12" t="s">
        <v>326</v>
      </c>
      <c r="D12" s="1">
        <f>135/L15</f>
        <v>95.92105263157895</v>
      </c>
      <c r="F12" s="1">
        <f t="shared" si="0"/>
        <v>0</v>
      </c>
    </row>
    <row r="13" spans="3:6" ht="12.75">
      <c r="C13" t="s">
        <v>327</v>
      </c>
      <c r="D13" s="1">
        <f>43/L15</f>
        <v>30.552631578947366</v>
      </c>
      <c r="F13" s="1">
        <f t="shared" si="0"/>
        <v>0</v>
      </c>
    </row>
    <row r="14" spans="4:6" ht="12.75">
      <c r="D14">
        <f>SUM(D7:D13)</f>
        <v>324</v>
      </c>
      <c r="E14">
        <f>F14/D14*10000</f>
        <v>0</v>
      </c>
      <c r="F14">
        <f>SUM(F7:F13)</f>
        <v>0</v>
      </c>
    </row>
    <row r="15" spans="11:12" ht="12.75">
      <c r="K15">
        <v>324</v>
      </c>
      <c r="L15">
        <f>456/324</f>
        <v>1.4074074074074074</v>
      </c>
    </row>
    <row r="17" spans="3:10" ht="12.75">
      <c r="C17" t="s">
        <v>328</v>
      </c>
      <c r="D17" s="1">
        <f>D11+D9</f>
        <v>197.5263157894737</v>
      </c>
      <c r="E17">
        <v>103141</v>
      </c>
      <c r="F17" s="1">
        <f>D17*E17/10000</f>
        <v>2037.3061736842108</v>
      </c>
      <c r="J17">
        <f>679.9-525.6</f>
        <v>154.29999999999995</v>
      </c>
    </row>
    <row r="18" spans="3:6" ht="12.75">
      <c r="C18" t="s">
        <v>329</v>
      </c>
      <c r="D18" s="1">
        <f>D12</f>
        <v>95.92105263157895</v>
      </c>
      <c r="E18">
        <v>89841</v>
      </c>
      <c r="F18" s="1">
        <f>D18*E18/10000</f>
        <v>861.7643289473684</v>
      </c>
    </row>
    <row r="19" spans="3:6" ht="12.75" hidden="1">
      <c r="C19" t="s">
        <v>324</v>
      </c>
      <c r="D19" s="1"/>
      <c r="E19">
        <v>67379</v>
      </c>
      <c r="F19" s="1">
        <f>D19*E19</f>
        <v>0</v>
      </c>
    </row>
    <row r="20" spans="3:6" ht="12.75">
      <c r="C20" t="s">
        <v>330</v>
      </c>
      <c r="D20" s="1">
        <f>D13</f>
        <v>30.552631578947366</v>
      </c>
      <c r="E20">
        <v>55127</v>
      </c>
      <c r="F20" s="1">
        <f>D20*E20/10000</f>
        <v>168.42749210526316</v>
      </c>
    </row>
    <row r="21" spans="3:6" ht="12.75">
      <c r="C21" s="2" t="s">
        <v>331</v>
      </c>
      <c r="D21" s="1">
        <f>(+D18+D17)*0.07</f>
        <v>20.54131578947369</v>
      </c>
      <c r="E21">
        <v>1600000</v>
      </c>
      <c r="F21" s="1">
        <f>D21*E21/10000</f>
        <v>3286.6105263157906</v>
      </c>
    </row>
    <row r="22" spans="4:6" ht="12.75">
      <c r="D22">
        <f>D17+D18+D20</f>
        <v>324</v>
      </c>
      <c r="E22" s="3">
        <f>F22/D22*10000</f>
        <v>196114.46052631582</v>
      </c>
      <c r="F22" s="1">
        <f>SUM(F17:F21)</f>
        <v>6354.108521052633</v>
      </c>
    </row>
    <row r="25" spans="3:6" ht="12.75">
      <c r="C25" t="s">
        <v>266</v>
      </c>
      <c r="D25">
        <v>90</v>
      </c>
      <c r="E25">
        <v>1512</v>
      </c>
      <c r="F25" s="1">
        <f>D25*E25/10000</f>
        <v>13.608</v>
      </c>
    </row>
    <row r="26" spans="3:6" ht="12.75">
      <c r="C26" t="s">
        <v>267</v>
      </c>
      <c r="D26">
        <v>3859</v>
      </c>
      <c r="E26">
        <v>1492</v>
      </c>
      <c r="F26" s="1">
        <f>D26*E26/10000</f>
        <v>575.7628</v>
      </c>
    </row>
    <row r="27" spans="3:6" ht="12.75">
      <c r="C27" t="s">
        <v>268</v>
      </c>
      <c r="D27">
        <v>231</v>
      </c>
      <c r="E27">
        <v>1232</v>
      </c>
      <c r="F27" s="1">
        <f>D27*E27/10000</f>
        <v>28.4592</v>
      </c>
    </row>
    <row r="28" spans="4:6" ht="12.75">
      <c r="D28">
        <f>SUM(D25:D27)</f>
        <v>4180</v>
      </c>
      <c r="F28">
        <f>SUM(F25:F27)</f>
        <v>617.8299999999999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刹华</cp:lastModifiedBy>
  <cp:lastPrinted>2023-05-26T10:32:06Z</cp:lastPrinted>
  <dcterms:created xsi:type="dcterms:W3CDTF">2014-06-06T02:25:58Z</dcterms:created>
  <dcterms:modified xsi:type="dcterms:W3CDTF">2023-06-12T01:46:45Z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15A6A4BCC6124C6BBF2D7762C182A6BB</vt:lpwstr>
  </property>
</Properties>
</file>