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概算表" sheetId="1" r:id="rId1"/>
    <sheet name="其他费用计算表" sheetId="4" r:id="rId2"/>
  </sheets>
  <definedNames>
    <definedName name="_xlnm._FilterDatabase" localSheetId="0" hidden="1">总概算表!$A$1:$L$223</definedName>
    <definedName name="_xlnm.Print_Titles" localSheetId="0">总概算表!$3:$4</definedName>
  </definedNames>
  <calcPr calcId="144525"/>
</workbook>
</file>

<file path=xl/sharedStrings.xml><?xml version="1.0" encoding="utf-8"?>
<sst xmlns="http://schemas.openxmlformats.org/spreadsheetml/2006/main" count="528" uniqueCount="217">
  <si>
    <t>工程总概算表</t>
  </si>
  <si>
    <t>项目名称：闽清县乡镇生活污水治理运行建设项目</t>
  </si>
  <si>
    <t>序号</t>
  </si>
  <si>
    <t>工程及费用名称</t>
  </si>
  <si>
    <t>概    算    价    值   (万元)</t>
  </si>
  <si>
    <t>技术经济指标</t>
  </si>
  <si>
    <t>占总投资（%）</t>
  </si>
  <si>
    <t>备注</t>
  </si>
  <si>
    <t>市政工程</t>
  </si>
  <si>
    <t>安装工程</t>
  </si>
  <si>
    <t>设备购置费</t>
  </si>
  <si>
    <t>其它费用</t>
  </si>
  <si>
    <t>合计</t>
  </si>
  <si>
    <t>单位</t>
  </si>
  <si>
    <t>数量</t>
  </si>
  <si>
    <t>单位价值
(元)</t>
  </si>
  <si>
    <t>一</t>
  </si>
  <si>
    <t>工程费用</t>
  </si>
  <si>
    <t>村庄部分</t>
  </si>
  <si>
    <t>坂东镇</t>
  </si>
  <si>
    <t>坂中村</t>
  </si>
  <si>
    <t>1.1.1</t>
  </si>
  <si>
    <t>污水管网</t>
  </si>
  <si>
    <t>m</t>
  </si>
  <si>
    <t>1.1.2</t>
  </si>
  <si>
    <t>污水井</t>
  </si>
  <si>
    <t>座</t>
  </si>
  <si>
    <t>1.1.3</t>
  </si>
  <si>
    <t>道路工程</t>
  </si>
  <si>
    <t>m2</t>
  </si>
  <si>
    <t>1.1.4</t>
  </si>
  <si>
    <t>化粪池</t>
  </si>
  <si>
    <t>坂西村</t>
  </si>
  <si>
    <t>1.2.1</t>
  </si>
  <si>
    <t>1.2.2</t>
  </si>
  <si>
    <t>1.2.3</t>
  </si>
  <si>
    <t>1.2.4</t>
  </si>
  <si>
    <t>溪西村</t>
  </si>
  <si>
    <t>1.3.1</t>
  </si>
  <si>
    <t>1.3.2</t>
  </si>
  <si>
    <t>1.3.3</t>
  </si>
  <si>
    <t>1.3.4</t>
  </si>
  <si>
    <t>文定村</t>
  </si>
  <si>
    <t>1.4.1</t>
  </si>
  <si>
    <t>1.4.2</t>
  </si>
  <si>
    <t>1.4.3</t>
  </si>
  <si>
    <t>1.4.4</t>
  </si>
  <si>
    <t>东桥镇</t>
  </si>
  <si>
    <t>大箬村</t>
  </si>
  <si>
    <t>2.1.1</t>
  </si>
  <si>
    <t>2.1.2</t>
  </si>
  <si>
    <t>2.1.3</t>
  </si>
  <si>
    <t>2.1.4</t>
  </si>
  <si>
    <t>2.1.5</t>
  </si>
  <si>
    <t>100T污水处理站</t>
  </si>
  <si>
    <t>安仁溪村</t>
  </si>
  <si>
    <t>2.2.1</t>
  </si>
  <si>
    <t>2.2.2</t>
  </si>
  <si>
    <t>2.2.3</t>
  </si>
  <si>
    <t>2.2.4</t>
  </si>
  <si>
    <t>2.2.5</t>
  </si>
  <si>
    <t>塔庄镇</t>
  </si>
  <si>
    <t>坂尾村</t>
  </si>
  <si>
    <t>3.1.1</t>
  </si>
  <si>
    <t>3.1.2</t>
  </si>
  <si>
    <t>3.1.3</t>
  </si>
  <si>
    <t>3.1.4</t>
  </si>
  <si>
    <t>塔庄村</t>
  </si>
  <si>
    <t>3.2.1</t>
  </si>
  <si>
    <t>3.2.2</t>
  </si>
  <si>
    <t>3.2.3</t>
  </si>
  <si>
    <t>3.2.4</t>
  </si>
  <si>
    <t>龙池村</t>
  </si>
  <si>
    <t>3.3.1</t>
  </si>
  <si>
    <t>3.3.2</t>
  </si>
  <si>
    <t>3.3.3</t>
  </si>
  <si>
    <t>3.3.4</t>
  </si>
  <si>
    <t>3.3.5</t>
  </si>
  <si>
    <t>200m³/d泵站工程</t>
  </si>
  <si>
    <t>秀环村</t>
  </si>
  <si>
    <t>3.4.1</t>
  </si>
  <si>
    <t>3.4.2</t>
  </si>
  <si>
    <t>3.4.3</t>
  </si>
  <si>
    <t>3.4.4</t>
  </si>
  <si>
    <t>3.4.5</t>
  </si>
  <si>
    <t>坪洋村</t>
  </si>
  <si>
    <t>3.5.1</t>
  </si>
  <si>
    <t>3.5.2</t>
  </si>
  <si>
    <t>3.5.3</t>
  </si>
  <si>
    <t>3.5.4</t>
  </si>
  <si>
    <t>下庄村</t>
  </si>
  <si>
    <t>3.6.1</t>
  </si>
  <si>
    <t>3.6.2</t>
  </si>
  <si>
    <t>3.6.3</t>
  </si>
  <si>
    <t>3.6.4</t>
  </si>
  <si>
    <t>3.6.5</t>
  </si>
  <si>
    <t>白樟镇</t>
  </si>
  <si>
    <t>前庄村</t>
  </si>
  <si>
    <t>4.1.1</t>
  </si>
  <si>
    <t>4.1.2</t>
  </si>
  <si>
    <t>4.1.3</t>
  </si>
  <si>
    <t>4.1.4</t>
  </si>
  <si>
    <t>4.1.5</t>
  </si>
  <si>
    <t>挡墙</t>
  </si>
  <si>
    <t>4.1.6</t>
  </si>
  <si>
    <t>300m³/d泵站工程</t>
  </si>
  <si>
    <t>溪南村</t>
  </si>
  <si>
    <t>4.2.1</t>
  </si>
  <si>
    <t>4.2.2</t>
  </si>
  <si>
    <t>4.2.3</t>
  </si>
  <si>
    <t>4.2.4</t>
  </si>
  <si>
    <t>4.2.5</t>
  </si>
  <si>
    <t>管道架空部分</t>
  </si>
  <si>
    <t>樟山村</t>
  </si>
  <si>
    <t>4.3.1</t>
  </si>
  <si>
    <t>4.3.2</t>
  </si>
  <si>
    <t>4.3.3</t>
  </si>
  <si>
    <t>4.3.4</t>
  </si>
  <si>
    <t>4.3.5</t>
  </si>
  <si>
    <t>梅溪镇</t>
  </si>
  <si>
    <t>石湖村</t>
  </si>
  <si>
    <t>5.1.1</t>
  </si>
  <si>
    <t>5.1.2</t>
  </si>
  <si>
    <t>5.1.3</t>
  </si>
  <si>
    <t>5.1.4</t>
  </si>
  <si>
    <t>5.1.5</t>
  </si>
  <si>
    <t>80m³/d泵站工程</t>
  </si>
  <si>
    <t>上浦村</t>
  </si>
  <si>
    <t>5.2.1</t>
  </si>
  <si>
    <t>5.2.2</t>
  </si>
  <si>
    <t>5.2.3</t>
  </si>
  <si>
    <t>5.2.4</t>
  </si>
  <si>
    <t>榕星村</t>
  </si>
  <si>
    <t>5.3.1</t>
  </si>
  <si>
    <t>5.3.2</t>
  </si>
  <si>
    <t>5.3.3</t>
  </si>
  <si>
    <t>5.3.4</t>
  </si>
  <si>
    <t>镇区部分</t>
  </si>
  <si>
    <t>白中镇</t>
  </si>
  <si>
    <t>100m³/d泵站工程</t>
  </si>
  <si>
    <t>600m³/d泵站工程</t>
  </si>
  <si>
    <t>150T污水处理站</t>
  </si>
  <si>
    <t>150m³/d泵站工程</t>
  </si>
  <si>
    <t>倒虹吸管</t>
  </si>
  <si>
    <t>池园镇</t>
  </si>
  <si>
    <t>三溪乡</t>
  </si>
  <si>
    <t>金沙镇</t>
  </si>
  <si>
    <t>雄江镇</t>
  </si>
  <si>
    <t>10m³/d泵站工程</t>
  </si>
  <si>
    <t>省璜镇</t>
  </si>
  <si>
    <t>云龙乡</t>
  </si>
  <si>
    <t>2000m³/d泵站工程</t>
  </si>
  <si>
    <t>上莲乡</t>
  </si>
  <si>
    <t>200T污水处理站</t>
  </si>
  <si>
    <t>管道拉管部分</t>
  </si>
  <si>
    <t>1000m³/d泵站工程</t>
  </si>
  <si>
    <t>3000m³/d泵站工程</t>
  </si>
  <si>
    <t>5000m³/d泵站工程</t>
  </si>
  <si>
    <t>1000T污水处理站</t>
  </si>
  <si>
    <t>梅城镇</t>
  </si>
  <si>
    <t>二</t>
  </si>
  <si>
    <t>工程建设其它费用</t>
  </si>
  <si>
    <t>代建管理费（工程全过程咨询协调费）</t>
  </si>
  <si>
    <t>设计咨询费</t>
  </si>
  <si>
    <t>勘察费</t>
  </si>
  <si>
    <t>工程监理费</t>
  </si>
  <si>
    <t>前期工作费</t>
  </si>
  <si>
    <t>施工图审查费</t>
  </si>
  <si>
    <t>招标代理费</t>
  </si>
  <si>
    <t>环境影响评价费</t>
  </si>
  <si>
    <t>职工培训费用</t>
  </si>
  <si>
    <t>办公家具购置费</t>
  </si>
  <si>
    <t>建设工程交易服务费</t>
  </si>
  <si>
    <t>工程造价咨询费</t>
  </si>
  <si>
    <t>场地准备及临时设施费</t>
  </si>
  <si>
    <t>劳动安全卫生评价费</t>
  </si>
  <si>
    <t>联合试运转费</t>
  </si>
  <si>
    <t>工程保险费</t>
  </si>
  <si>
    <t>社会稳定风险评估费</t>
  </si>
  <si>
    <t>土地征地费</t>
  </si>
  <si>
    <t>三</t>
  </si>
  <si>
    <t>工程预备费</t>
  </si>
  <si>
    <t>基本预备费</t>
  </si>
  <si>
    <t>四</t>
  </si>
  <si>
    <t>建设期利息</t>
  </si>
  <si>
    <t>五</t>
  </si>
  <si>
    <t>铺底流动资金</t>
  </si>
  <si>
    <t>六</t>
  </si>
  <si>
    <t>建设项目总投资</t>
  </si>
  <si>
    <t>表3：工程建设其他费用计算表</t>
  </si>
  <si>
    <t>费用项目</t>
  </si>
  <si>
    <t>费用计算式</t>
  </si>
  <si>
    <t> 费用金额（万元）</t>
  </si>
  <si>
    <t>计算依据</t>
  </si>
  <si>
    <t>代建管理费</t>
  </si>
  <si>
    <t>发改法规[2015]613号</t>
  </si>
  <si>
    <t>设计费</t>
  </si>
  <si>
    <t>国家计委、建设部计价格[2002]10号文规定</t>
  </si>
  <si>
    <t>国家发改委、建设部发改价格[2007]670号规定</t>
  </si>
  <si>
    <t>工程费用*0.3%*0.7</t>
  </si>
  <si>
    <t>计价格【1999】1283号及闽价〔2000〕房字422号</t>
  </si>
  <si>
    <t>福建省物价局闽价服[2012]237号文规定</t>
  </si>
  <si>
    <t>国家计委计价格[2002]1980号文</t>
  </si>
  <si>
    <t>福建省物价局闽价费[2008]501号文</t>
  </si>
  <si>
    <t>（村镇各定员60%，培训6个月，每人每月2500元）</t>
  </si>
  <si>
    <t>（16人*2500元/人）</t>
  </si>
  <si>
    <t>闽发改服价[2021]250号文</t>
  </si>
  <si>
    <t>闽建价协〔2020〕34号文</t>
  </si>
  <si>
    <t>工程费用*0.3%*0.5</t>
  </si>
  <si>
    <t>（工程费用*0.3%）</t>
  </si>
  <si>
    <t>工程费用*0.15%</t>
  </si>
  <si>
    <t>（工程费用*0.15%）</t>
  </si>
  <si>
    <t>设备费用*1%</t>
  </si>
  <si>
    <t>（设备费用*1%）</t>
  </si>
  <si>
    <t>工程费用*0.3%*0.8</t>
  </si>
  <si>
    <t>（工程费用*0.4%）</t>
  </si>
  <si>
    <t>发改投（2011）169号文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</si>
</sst>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178" formatCode="0.0_ "/>
    <numFmt numFmtId="179" formatCode="0.0"/>
  </numFmts>
  <fonts count="42">
    <font>
      <sz val="10"/>
      <color rgb="FF000000"/>
      <name val="Times New Roman"/>
      <charset val="204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FF0000"/>
      <name val="Times New Roman"/>
      <charset val="204"/>
    </font>
    <font>
      <b/>
      <sz val="11"/>
      <color rgb="FF000000"/>
      <name val="Times New Roman"/>
      <charset val="204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3"/>
      <name val="宋体"/>
      <charset val="134"/>
      <scheme val="minor"/>
    </font>
    <font>
      <b/>
      <sz val="13"/>
      <name val="宋体"/>
      <charset val="204"/>
      <scheme val="minor"/>
    </font>
    <font>
      <b/>
      <sz val="12"/>
      <name val="宋体"/>
      <charset val="134"/>
      <scheme val="minor"/>
    </font>
    <font>
      <sz val="12"/>
      <name val="宋体"/>
      <charset val="204"/>
      <scheme val="minor"/>
    </font>
    <font>
      <b/>
      <sz val="12"/>
      <name val="宋体"/>
      <charset val="204"/>
      <scheme val="minor"/>
    </font>
    <font>
      <sz val="12"/>
      <name val="Times New Roman"/>
      <charset val="204"/>
    </font>
    <font>
      <sz val="12"/>
      <color rgb="FF000000"/>
      <name val="宋体"/>
      <charset val="134"/>
    </font>
    <font>
      <sz val="10"/>
      <name val="Times New Roman"/>
      <charset val="20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8" borderId="14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9" fillId="26" borderId="17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1" fillId="0" borderId="0"/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76" fontId="0" fillId="0" borderId="0" xfId="0" applyNumberFormat="1" applyFill="1" applyBorder="1" applyAlignment="1">
      <alignment horizontal="center" vertical="top"/>
    </xf>
    <xf numFmtId="10" fontId="0" fillId="0" borderId="0" xfId="0" applyNumberForma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6" fontId="17" fillId="0" borderId="7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1" fillId="0" borderId="0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10" fontId="16" fillId="0" borderId="7" xfId="0" applyNumberFormat="1" applyFont="1" applyFill="1" applyBorder="1" applyAlignment="1">
      <alignment horizontal="center" vertical="center"/>
    </xf>
    <xf numFmtId="10" fontId="13" fillId="0" borderId="9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10" fontId="17" fillId="0" borderId="7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Fill="1" applyBorder="1" applyAlignment="1">
      <alignment horizontal="center" vertical="center" shrinkToFit="1"/>
    </xf>
    <xf numFmtId="176" fontId="13" fillId="0" borderId="9" xfId="0" applyNumberFormat="1" applyFont="1" applyFill="1" applyBorder="1" applyAlignment="1">
      <alignment horizontal="center"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178" fontId="12" fillId="0" borderId="7" xfId="0" applyNumberFormat="1" applyFont="1" applyFill="1" applyBorder="1" applyAlignment="1">
      <alignment horizontal="center" vertical="center" shrinkToFit="1"/>
    </xf>
    <xf numFmtId="10" fontId="13" fillId="0" borderId="9" xfId="0" applyNumberFormat="1" applyFont="1" applyFill="1" applyBorder="1" applyAlignment="1">
      <alignment horizontal="center" vertical="center" shrinkToFit="1"/>
    </xf>
    <xf numFmtId="176" fontId="13" fillId="0" borderId="10" xfId="0" applyNumberFormat="1" applyFont="1" applyFill="1" applyBorder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center" vertical="center" shrinkToFit="1"/>
    </xf>
    <xf numFmtId="10" fontId="15" fillId="0" borderId="7" xfId="0" applyNumberFormat="1" applyFont="1" applyFill="1" applyBorder="1" applyAlignment="1">
      <alignment horizontal="center" vertical="center" shrinkToFit="1"/>
    </xf>
    <xf numFmtId="2" fontId="1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代溪幼儿园新校区勘察设计项目概算书-批复修改稿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3"/>
  <sheetViews>
    <sheetView tabSelected="1" workbookViewId="0">
      <pane ySplit="5" topLeftCell="A212" activePane="bottomLeft" state="frozen"/>
      <selection/>
      <selection pane="bottomLeft" activeCell="A2" sqref="A2:L2"/>
    </sheetView>
  </sheetViews>
  <sheetFormatPr defaultColWidth="9" defaultRowHeight="12.75"/>
  <cols>
    <col min="1" max="1" width="9" style="19" customWidth="1"/>
    <col min="2" max="2" width="31.3333333333333" customWidth="1"/>
    <col min="3" max="5" width="16.6666666666667" customWidth="1"/>
    <col min="6" max="6" width="14.8333333333333" customWidth="1"/>
    <col min="7" max="7" width="15.6666666666667" customWidth="1"/>
    <col min="8" max="8" width="10.4444444444444" customWidth="1"/>
    <col min="9" max="9" width="13" style="20" customWidth="1"/>
    <col min="10" max="10" width="18.6666666666667" customWidth="1"/>
    <col min="11" max="11" width="12.8333333333333" style="21" customWidth="1"/>
    <col min="12" max="12" width="9.33333333333333" customWidth="1"/>
    <col min="15" max="16" width="9.83333333333333"/>
  </cols>
  <sheetData>
    <row r="1" ht="33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42"/>
      <c r="J1" s="22"/>
      <c r="K1" s="43"/>
      <c r="L1" s="22"/>
    </row>
    <row r="2" s="14" customFormat="1" ht="33" customHeight="1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5" customFormat="1" ht="33" customHeight="1" spans="1:12">
      <c r="A3" s="24" t="s">
        <v>2</v>
      </c>
      <c r="B3" s="24" t="s">
        <v>3</v>
      </c>
      <c r="C3" s="25" t="s">
        <v>4</v>
      </c>
      <c r="D3" s="26"/>
      <c r="E3" s="26"/>
      <c r="F3" s="26"/>
      <c r="G3" s="27"/>
      <c r="H3" s="25" t="s">
        <v>5</v>
      </c>
      <c r="I3" s="44"/>
      <c r="J3" s="45"/>
      <c r="K3" s="46" t="s">
        <v>6</v>
      </c>
      <c r="L3" s="24" t="s">
        <v>7</v>
      </c>
    </row>
    <row r="4" s="15" customFormat="1" ht="33" customHeight="1" spans="1:12">
      <c r="A4" s="28"/>
      <c r="B4" s="28"/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  <c r="I4" s="47" t="s">
        <v>14</v>
      </c>
      <c r="J4" s="48" t="s">
        <v>15</v>
      </c>
      <c r="K4" s="49"/>
      <c r="L4" s="28"/>
    </row>
    <row r="5" ht="30.5" customHeight="1" spans="1:12">
      <c r="A5" s="30" t="s">
        <v>16</v>
      </c>
      <c r="B5" s="31" t="s">
        <v>17</v>
      </c>
      <c r="C5" s="32">
        <f>C7+C28+C41+C75+C95+C113+C118+C125+C132+C139+C145+C151+C157+C163+C170+C177+C184+C195</f>
        <v>37734.589456</v>
      </c>
      <c r="D5" s="32">
        <f t="shared" ref="C5:F5" si="0">D7+D28+D41+D75+D95+D113+D118+D125+D132+D139+D145+D151+D157+D163+D170+D177+D184+D195</f>
        <v>667.789144</v>
      </c>
      <c r="E5" s="32">
        <f t="shared" si="0"/>
        <v>1215.2844</v>
      </c>
      <c r="F5" s="32">
        <f t="shared" si="0"/>
        <v>0</v>
      </c>
      <c r="G5" s="32">
        <f>C5+D5+E5+F5</f>
        <v>39617.663</v>
      </c>
      <c r="H5" s="31"/>
      <c r="I5" s="32"/>
      <c r="J5" s="32"/>
      <c r="K5" s="50">
        <f>G5/G$223</f>
        <v>0.855711654950832</v>
      </c>
      <c r="L5" s="40"/>
    </row>
    <row r="6" ht="30.5" customHeight="1" spans="1:12">
      <c r="A6" s="33" t="s">
        <v>18</v>
      </c>
      <c r="B6" s="34"/>
      <c r="C6" s="34"/>
      <c r="D6" s="34"/>
      <c r="E6" s="34"/>
      <c r="F6" s="34"/>
      <c r="G6" s="34"/>
      <c r="H6" s="34"/>
      <c r="I6" s="34"/>
      <c r="J6" s="34"/>
      <c r="K6" s="51"/>
      <c r="L6" s="52"/>
    </row>
    <row r="7" s="16" customFormat="1" ht="30.5" customHeight="1" spans="1:12">
      <c r="A7" s="35">
        <v>1</v>
      </c>
      <c r="B7" s="31" t="s">
        <v>19</v>
      </c>
      <c r="C7" s="32">
        <f>C8+C13+C18+C23</f>
        <v>4196.1274</v>
      </c>
      <c r="D7" s="32">
        <f>D8+D13+D18+D23</f>
        <v>0</v>
      </c>
      <c r="E7" s="32">
        <f>E8+E13+E18+E23</f>
        <v>0</v>
      </c>
      <c r="F7" s="32">
        <f>F8+F13+F18+F23</f>
        <v>0</v>
      </c>
      <c r="G7" s="32">
        <f t="shared" ref="G7:G29" si="1">C7+D7+E7+F7</f>
        <v>4196.1274</v>
      </c>
      <c r="H7" s="31"/>
      <c r="I7" s="32"/>
      <c r="J7" s="32"/>
      <c r="K7" s="53"/>
      <c r="L7" s="40"/>
    </row>
    <row r="8" s="16" customFormat="1" ht="30.5" customHeight="1" spans="1:12">
      <c r="A8" s="36">
        <v>1.1</v>
      </c>
      <c r="B8" s="31" t="s">
        <v>20</v>
      </c>
      <c r="C8" s="32">
        <f>C9+C10+C11+C12</f>
        <v>1310.8271</v>
      </c>
      <c r="D8" s="32">
        <f>D9+D10+D11+D12</f>
        <v>0</v>
      </c>
      <c r="E8" s="32">
        <f>E9+E10+E11+E12</f>
        <v>0</v>
      </c>
      <c r="F8" s="32">
        <f>F9+F10+F11+F12</f>
        <v>0</v>
      </c>
      <c r="G8" s="32">
        <f t="shared" si="1"/>
        <v>1310.8271</v>
      </c>
      <c r="H8" s="31"/>
      <c r="I8" s="32"/>
      <c r="J8" s="32"/>
      <c r="K8" s="53"/>
      <c r="L8" s="40"/>
    </row>
    <row r="9" ht="30.5" hidden="1" customHeight="1" spans="1:12">
      <c r="A9" s="37" t="s">
        <v>21</v>
      </c>
      <c r="B9" s="38" t="s">
        <v>22</v>
      </c>
      <c r="C9" s="37">
        <v>719.1982</v>
      </c>
      <c r="D9" s="39"/>
      <c r="E9" s="39"/>
      <c r="F9" s="39"/>
      <c r="G9" s="37">
        <f t="shared" si="1"/>
        <v>719.1982</v>
      </c>
      <c r="H9" s="38" t="s">
        <v>23</v>
      </c>
      <c r="I9" s="37">
        <v>27058.88</v>
      </c>
      <c r="J9" s="37">
        <f t="shared" ref="J9:J17" si="2">G9/I9*10000</f>
        <v>265.790084438085</v>
      </c>
      <c r="K9" s="50">
        <f t="shared" ref="K9:K17" si="3">G9/G$223</f>
        <v>0.0155341389510951</v>
      </c>
      <c r="L9" s="39"/>
    </row>
    <row r="10" ht="30.5" hidden="1" customHeight="1" spans="1:12">
      <c r="A10" s="37" t="s">
        <v>24</v>
      </c>
      <c r="B10" s="38" t="s">
        <v>25</v>
      </c>
      <c r="C10" s="37">
        <v>189.0523</v>
      </c>
      <c r="D10" s="39"/>
      <c r="E10" s="39"/>
      <c r="F10" s="39"/>
      <c r="G10" s="37">
        <f t="shared" si="1"/>
        <v>189.0523</v>
      </c>
      <c r="H10" s="38" t="s">
        <v>26</v>
      </c>
      <c r="I10" s="37">
        <v>743</v>
      </c>
      <c r="J10" s="37">
        <f t="shared" si="2"/>
        <v>2544.44549125168</v>
      </c>
      <c r="K10" s="50">
        <f t="shared" si="3"/>
        <v>0.00408338716257093</v>
      </c>
      <c r="L10" s="39"/>
    </row>
    <row r="11" ht="30.5" hidden="1" customHeight="1" spans="1:12">
      <c r="A11" s="37" t="s">
        <v>27</v>
      </c>
      <c r="B11" s="38" t="s">
        <v>28</v>
      </c>
      <c r="C11" s="37">
        <v>390.9847</v>
      </c>
      <c r="D11" s="39"/>
      <c r="E11" s="39"/>
      <c r="F11" s="39"/>
      <c r="G11" s="37">
        <f t="shared" si="1"/>
        <v>390.9847</v>
      </c>
      <c r="H11" s="38" t="s">
        <v>29</v>
      </c>
      <c r="I11" s="54">
        <f>3559.518+3827.516+5605</f>
        <v>12992.034</v>
      </c>
      <c r="J11" s="37">
        <f t="shared" si="2"/>
        <v>300.941869456315</v>
      </c>
      <c r="K11" s="50">
        <f t="shared" si="3"/>
        <v>0.00844497477545443</v>
      </c>
      <c r="L11" s="39"/>
    </row>
    <row r="12" ht="30.5" hidden="1" customHeight="1" spans="1:12">
      <c r="A12" s="37" t="s">
        <v>30</v>
      </c>
      <c r="B12" s="38" t="s">
        <v>31</v>
      </c>
      <c r="C12" s="37">
        <v>11.5919</v>
      </c>
      <c r="D12" s="39"/>
      <c r="E12" s="39"/>
      <c r="F12" s="39"/>
      <c r="G12" s="37">
        <f t="shared" si="1"/>
        <v>11.5919</v>
      </c>
      <c r="H12" s="38" t="s">
        <v>26</v>
      </c>
      <c r="I12" s="37">
        <v>41</v>
      </c>
      <c r="J12" s="37">
        <f t="shared" si="2"/>
        <v>2827.29268292683</v>
      </c>
      <c r="K12" s="50">
        <f t="shared" si="3"/>
        <v>0.000250376301424558</v>
      </c>
      <c r="L12" s="39"/>
    </row>
    <row r="13" s="16" customFormat="1" ht="30.5" customHeight="1" spans="1:12">
      <c r="A13" s="36">
        <v>1.2</v>
      </c>
      <c r="B13" s="31" t="s">
        <v>32</v>
      </c>
      <c r="C13" s="32">
        <f>C14+C15+C16+C17</f>
        <v>1377.1668</v>
      </c>
      <c r="D13" s="32">
        <f>D14+D15+D16+D17</f>
        <v>0</v>
      </c>
      <c r="E13" s="32">
        <f>E14+E15+E16+E17</f>
        <v>0</v>
      </c>
      <c r="F13" s="32">
        <f>F14+F15+F16+F17</f>
        <v>0</v>
      </c>
      <c r="G13" s="32">
        <f t="shared" si="1"/>
        <v>1377.1668</v>
      </c>
      <c r="H13" s="31"/>
      <c r="I13" s="32"/>
      <c r="J13" s="32"/>
      <c r="K13" s="53"/>
      <c r="L13" s="40"/>
    </row>
    <row r="14" ht="30.5" hidden="1" customHeight="1" spans="1:12">
      <c r="A14" s="37" t="s">
        <v>33</v>
      </c>
      <c r="B14" s="38" t="s">
        <v>22</v>
      </c>
      <c r="C14" s="37">
        <v>851.0237</v>
      </c>
      <c r="D14" s="39"/>
      <c r="E14" s="39"/>
      <c r="F14" s="39"/>
      <c r="G14" s="37">
        <f t="shared" si="1"/>
        <v>851.0237</v>
      </c>
      <c r="H14" s="38" t="s">
        <v>23</v>
      </c>
      <c r="I14" s="37">
        <v>25575.42</v>
      </c>
      <c r="J14" s="37">
        <f t="shared" si="2"/>
        <v>332.750625405174</v>
      </c>
      <c r="K14" s="50">
        <f t="shared" si="3"/>
        <v>0.018381470374196</v>
      </c>
      <c r="L14" s="39"/>
    </row>
    <row r="15" ht="30.5" hidden="1" customHeight="1" spans="1:12">
      <c r="A15" s="37" t="s">
        <v>34</v>
      </c>
      <c r="B15" s="38" t="s">
        <v>25</v>
      </c>
      <c r="C15" s="37">
        <v>230.833</v>
      </c>
      <c r="D15" s="39"/>
      <c r="E15" s="39"/>
      <c r="F15" s="39"/>
      <c r="G15" s="37">
        <f t="shared" si="1"/>
        <v>230.833</v>
      </c>
      <c r="H15" s="38" t="s">
        <v>26</v>
      </c>
      <c r="I15" s="37">
        <v>752</v>
      </c>
      <c r="J15" s="37">
        <f t="shared" si="2"/>
        <v>3069.58776595745</v>
      </c>
      <c r="K15" s="50">
        <f t="shared" si="3"/>
        <v>0.00498581878611228</v>
      </c>
      <c r="L15" s="39"/>
    </row>
    <row r="16" ht="30.5" hidden="1" customHeight="1" spans="1:12">
      <c r="A16" s="37" t="s">
        <v>35</v>
      </c>
      <c r="B16" s="38" t="s">
        <v>28</v>
      </c>
      <c r="C16" s="37">
        <v>271.5609</v>
      </c>
      <c r="D16" s="39"/>
      <c r="E16" s="39"/>
      <c r="F16" s="39"/>
      <c r="G16" s="37">
        <f t="shared" si="1"/>
        <v>271.5609</v>
      </c>
      <c r="H16" s="38" t="s">
        <v>29</v>
      </c>
      <c r="I16" s="54">
        <f>2625.475+2610.389+4160</f>
        <v>9395.864</v>
      </c>
      <c r="J16" s="37">
        <f t="shared" si="2"/>
        <v>289.021744035461</v>
      </c>
      <c r="K16" s="50">
        <f t="shared" si="3"/>
        <v>0.00586551072330888</v>
      </c>
      <c r="L16" s="39"/>
    </row>
    <row r="17" ht="30.5" hidden="1" customHeight="1" spans="1:12">
      <c r="A17" s="37" t="s">
        <v>36</v>
      </c>
      <c r="B17" s="38" t="s">
        <v>31</v>
      </c>
      <c r="C17" s="37">
        <v>23.7492</v>
      </c>
      <c r="D17" s="39"/>
      <c r="E17" s="39"/>
      <c r="F17" s="39"/>
      <c r="G17" s="37">
        <f t="shared" si="1"/>
        <v>23.7492</v>
      </c>
      <c r="H17" s="38" t="s">
        <v>26</v>
      </c>
      <c r="I17" s="37">
        <v>84</v>
      </c>
      <c r="J17" s="37">
        <f t="shared" si="2"/>
        <v>2827.28571428571</v>
      </c>
      <c r="K17" s="50">
        <f t="shared" si="3"/>
        <v>0.00051296481662127</v>
      </c>
      <c r="L17" s="39"/>
    </row>
    <row r="18" s="16" customFormat="1" ht="31" customHeight="1" spans="1:12">
      <c r="A18" s="36">
        <v>1.3</v>
      </c>
      <c r="B18" s="31" t="s">
        <v>37</v>
      </c>
      <c r="C18" s="32">
        <f>C19+C20+C21+C22</f>
        <v>649.5596</v>
      </c>
      <c r="D18" s="32">
        <f>D19+D20+D21+D22</f>
        <v>0</v>
      </c>
      <c r="E18" s="32">
        <f>E19+E20+E21+E22</f>
        <v>0</v>
      </c>
      <c r="F18" s="32">
        <f>F19+F20+F21+F22</f>
        <v>0</v>
      </c>
      <c r="G18" s="32">
        <f t="shared" si="1"/>
        <v>649.5596</v>
      </c>
      <c r="H18" s="40"/>
      <c r="I18" s="40"/>
      <c r="J18" s="40"/>
      <c r="K18" s="53"/>
      <c r="L18" s="40"/>
    </row>
    <row r="19" ht="31" hidden="1" customHeight="1" spans="1:12">
      <c r="A19" s="37" t="s">
        <v>38</v>
      </c>
      <c r="B19" s="38" t="s">
        <v>22</v>
      </c>
      <c r="C19" s="37">
        <v>369.9883</v>
      </c>
      <c r="D19" s="37"/>
      <c r="E19" s="37"/>
      <c r="F19" s="39"/>
      <c r="G19" s="37">
        <f t="shared" si="1"/>
        <v>369.9883</v>
      </c>
      <c r="H19" s="38" t="s">
        <v>23</v>
      </c>
      <c r="I19" s="37">
        <v>10460.86</v>
      </c>
      <c r="J19" s="37">
        <f t="shared" ref="J19:J22" si="4">G19/I19*10000</f>
        <v>353.688224486323</v>
      </c>
      <c r="K19" s="50">
        <f t="shared" ref="K19:K22" si="5">G19/G$223</f>
        <v>0.00799146836362975</v>
      </c>
      <c r="L19" s="39"/>
    </row>
    <row r="20" ht="31" hidden="1" customHeight="1" spans="1:12">
      <c r="A20" s="37" t="s">
        <v>39</v>
      </c>
      <c r="B20" s="38" t="s">
        <v>25</v>
      </c>
      <c r="C20" s="37">
        <v>109.515</v>
      </c>
      <c r="D20" s="37"/>
      <c r="E20" s="37"/>
      <c r="F20" s="39"/>
      <c r="G20" s="37">
        <f t="shared" si="1"/>
        <v>109.515</v>
      </c>
      <c r="H20" s="38" t="s">
        <v>26</v>
      </c>
      <c r="I20" s="37">
        <v>330</v>
      </c>
      <c r="J20" s="37">
        <f t="shared" si="4"/>
        <v>3318.63636363636</v>
      </c>
      <c r="K20" s="50">
        <f t="shared" si="5"/>
        <v>0.00236544144191292</v>
      </c>
      <c r="L20" s="39"/>
    </row>
    <row r="21" ht="31" hidden="1" customHeight="1" spans="1:12">
      <c r="A21" s="37" t="s">
        <v>40</v>
      </c>
      <c r="B21" s="38" t="s">
        <v>28</v>
      </c>
      <c r="C21" s="37">
        <v>160.4435</v>
      </c>
      <c r="D21" s="37"/>
      <c r="E21" s="37"/>
      <c r="F21" s="39"/>
      <c r="G21" s="37">
        <f t="shared" si="1"/>
        <v>160.4435</v>
      </c>
      <c r="H21" s="38" t="s">
        <v>29</v>
      </c>
      <c r="I21" s="54">
        <f>1007.68+2335.766+1690</f>
        <v>5033.446</v>
      </c>
      <c r="J21" s="37">
        <f t="shared" si="4"/>
        <v>318.754785488908</v>
      </c>
      <c r="K21" s="50">
        <f t="shared" si="5"/>
        <v>0.00346545864936818</v>
      </c>
      <c r="L21" s="39"/>
    </row>
    <row r="22" ht="31" hidden="1" customHeight="1" spans="1:12">
      <c r="A22" s="37" t="s">
        <v>41</v>
      </c>
      <c r="B22" s="38" t="s">
        <v>31</v>
      </c>
      <c r="C22" s="37">
        <v>9.6128</v>
      </c>
      <c r="D22" s="37"/>
      <c r="E22" s="37"/>
      <c r="F22" s="39"/>
      <c r="G22" s="37">
        <f t="shared" si="1"/>
        <v>9.6128</v>
      </c>
      <c r="H22" s="38" t="s">
        <v>26</v>
      </c>
      <c r="I22" s="37">
        <v>34</v>
      </c>
      <c r="J22" s="37">
        <f t="shared" si="4"/>
        <v>2827.29411764706</v>
      </c>
      <c r="K22" s="50">
        <f t="shared" si="5"/>
        <v>0.000207629233372785</v>
      </c>
      <c r="L22" s="39"/>
    </row>
    <row r="23" s="16" customFormat="1" ht="30.5" customHeight="1" spans="1:12">
      <c r="A23" s="36">
        <v>1.4</v>
      </c>
      <c r="B23" s="31" t="s">
        <v>42</v>
      </c>
      <c r="C23" s="32">
        <f>C24+C25+C26+C27</f>
        <v>858.5739</v>
      </c>
      <c r="D23" s="32">
        <f>D24+D25+D26+D27</f>
        <v>0</v>
      </c>
      <c r="E23" s="32">
        <f>E24+E25+E26+E27</f>
        <v>0</v>
      </c>
      <c r="F23" s="32">
        <f>F24+F25+F26+F27</f>
        <v>0</v>
      </c>
      <c r="G23" s="32">
        <f t="shared" si="1"/>
        <v>858.5739</v>
      </c>
      <c r="H23" s="40"/>
      <c r="I23" s="40"/>
      <c r="J23" s="40"/>
      <c r="K23" s="53"/>
      <c r="L23" s="40"/>
    </row>
    <row r="24" ht="30.5" hidden="1" customHeight="1" spans="1:12">
      <c r="A24" s="37" t="s">
        <v>43</v>
      </c>
      <c r="B24" s="38" t="s">
        <v>22</v>
      </c>
      <c r="C24" s="37">
        <v>439.6251</v>
      </c>
      <c r="D24" s="37"/>
      <c r="E24" s="37"/>
      <c r="F24" s="39"/>
      <c r="G24" s="37">
        <f t="shared" si="1"/>
        <v>439.6251</v>
      </c>
      <c r="H24" s="38" t="s">
        <v>23</v>
      </c>
      <c r="I24" s="37">
        <v>21900.58</v>
      </c>
      <c r="J24" s="37">
        <f t="shared" ref="J24:J27" si="6">G24/I24*10000</f>
        <v>200.736738479072</v>
      </c>
      <c r="K24" s="50">
        <f t="shared" ref="K24:K27" si="7">G24/G$223</f>
        <v>0.00949557074779814</v>
      </c>
      <c r="L24" s="39"/>
    </row>
    <row r="25" ht="30.5" hidden="1" customHeight="1" spans="1:12">
      <c r="A25" s="37" t="s">
        <v>44</v>
      </c>
      <c r="B25" s="38" t="s">
        <v>25</v>
      </c>
      <c r="C25" s="37">
        <v>152.0257</v>
      </c>
      <c r="D25" s="37"/>
      <c r="E25" s="37"/>
      <c r="F25" s="39"/>
      <c r="G25" s="37">
        <f t="shared" si="1"/>
        <v>152.0257</v>
      </c>
      <c r="H25" s="38" t="s">
        <v>26</v>
      </c>
      <c r="I25" s="37">
        <v>611</v>
      </c>
      <c r="J25" s="37">
        <f t="shared" si="6"/>
        <v>2488.14566284779</v>
      </c>
      <c r="K25" s="50">
        <f t="shared" si="7"/>
        <v>0.00328364051514242</v>
      </c>
      <c r="L25" s="39"/>
    </row>
    <row r="26" ht="30.5" hidden="1" customHeight="1" spans="1:12">
      <c r="A26" s="37" t="s">
        <v>45</v>
      </c>
      <c r="B26" s="38" t="s">
        <v>28</v>
      </c>
      <c r="C26" s="37">
        <v>241.4776</v>
      </c>
      <c r="D26" s="37"/>
      <c r="E26" s="37"/>
      <c r="F26" s="39"/>
      <c r="G26" s="37">
        <f t="shared" si="1"/>
        <v>241.4776</v>
      </c>
      <c r="H26" s="38" t="s">
        <v>29</v>
      </c>
      <c r="I26" s="54">
        <f>2235.201+2941.652+4500</f>
        <v>9676.853</v>
      </c>
      <c r="J26" s="37">
        <f t="shared" si="6"/>
        <v>249.541457331221</v>
      </c>
      <c r="K26" s="50">
        <f t="shared" si="7"/>
        <v>0.00521573412166071</v>
      </c>
      <c r="L26" s="39"/>
    </row>
    <row r="27" ht="30.5" hidden="1" customHeight="1" spans="1:12">
      <c r="A27" s="37" t="s">
        <v>46</v>
      </c>
      <c r="B27" s="38" t="s">
        <v>31</v>
      </c>
      <c r="C27" s="37">
        <v>25.4455</v>
      </c>
      <c r="D27" s="37"/>
      <c r="E27" s="37"/>
      <c r="F27" s="39"/>
      <c r="G27" s="37">
        <f t="shared" si="1"/>
        <v>25.4455</v>
      </c>
      <c r="H27" s="38" t="s">
        <v>26</v>
      </c>
      <c r="I27" s="37">
        <v>90</v>
      </c>
      <c r="J27" s="37">
        <f t="shared" si="6"/>
        <v>2827.27777777778</v>
      </c>
      <c r="K27" s="50">
        <f t="shared" si="7"/>
        <v>0.000549603617862351</v>
      </c>
      <c r="L27" s="39"/>
    </row>
    <row r="28" s="16" customFormat="1" ht="30.5" customHeight="1" spans="1:12">
      <c r="A28" s="35">
        <v>2</v>
      </c>
      <c r="B28" s="31" t="s">
        <v>47</v>
      </c>
      <c r="C28" s="32">
        <f>C29+C35</f>
        <v>1140.467128</v>
      </c>
      <c r="D28" s="32">
        <f>D29+D35</f>
        <v>27.297672</v>
      </c>
      <c r="E28" s="32">
        <f>E29+E35</f>
        <v>129.8352</v>
      </c>
      <c r="F28" s="32">
        <f>F29+F35</f>
        <v>0</v>
      </c>
      <c r="G28" s="32">
        <f t="shared" si="1"/>
        <v>1297.6</v>
      </c>
      <c r="H28" s="40"/>
      <c r="I28" s="40"/>
      <c r="J28" s="40"/>
      <c r="K28" s="53"/>
      <c r="L28" s="40"/>
    </row>
    <row r="29" s="16" customFormat="1" ht="30.5" customHeight="1" spans="1:12">
      <c r="A29" s="36">
        <v>2.1</v>
      </c>
      <c r="B29" s="31" t="s">
        <v>48</v>
      </c>
      <c r="C29" s="32">
        <f t="shared" ref="C29:F29" si="8">C30+C31+C32+C33+C34</f>
        <v>512.618964</v>
      </c>
      <c r="D29" s="32">
        <f t="shared" si="8"/>
        <v>13.648836</v>
      </c>
      <c r="E29" s="32">
        <f t="shared" si="8"/>
        <v>64.9176</v>
      </c>
      <c r="F29" s="32">
        <f t="shared" si="8"/>
        <v>0</v>
      </c>
      <c r="G29" s="32">
        <f t="shared" si="1"/>
        <v>591.1854</v>
      </c>
      <c r="H29" s="40"/>
      <c r="I29" s="40"/>
      <c r="J29" s="40"/>
      <c r="K29" s="53"/>
      <c r="L29" s="40"/>
    </row>
    <row r="30" s="17" customFormat="1" ht="30.5" hidden="1" customHeight="1" spans="1:12">
      <c r="A30" s="37" t="s">
        <v>49</v>
      </c>
      <c r="B30" s="38" t="s">
        <v>22</v>
      </c>
      <c r="C30" s="37">
        <v>225.9993</v>
      </c>
      <c r="D30" s="37"/>
      <c r="E30" s="37"/>
      <c r="F30" s="39"/>
      <c r="G30" s="37">
        <f t="shared" ref="G29:G76" si="9">C30+D30+E30+F30</f>
        <v>225.9993</v>
      </c>
      <c r="H30" s="38" t="s">
        <v>23</v>
      </c>
      <c r="I30" s="37">
        <v>10104</v>
      </c>
      <c r="J30" s="37">
        <f t="shared" ref="J30:J34" si="10">G30/I30*10000</f>
        <v>223.67309976247</v>
      </c>
      <c r="K30" s="50">
        <f t="shared" ref="K30:K34" si="11">G30/G$223</f>
        <v>0.00488141451000604</v>
      </c>
      <c r="L30" s="39"/>
    </row>
    <row r="31" ht="30.5" hidden="1" customHeight="1" spans="1:12">
      <c r="A31" s="37" t="s">
        <v>50</v>
      </c>
      <c r="B31" s="38" t="s">
        <v>25</v>
      </c>
      <c r="C31" s="37">
        <v>98.7156</v>
      </c>
      <c r="D31" s="37"/>
      <c r="E31" s="37"/>
      <c r="F31" s="39"/>
      <c r="G31" s="37">
        <f t="shared" si="9"/>
        <v>98.7156</v>
      </c>
      <c r="H31" s="38" t="s">
        <v>26</v>
      </c>
      <c r="I31" s="37">
        <v>490</v>
      </c>
      <c r="J31" s="37">
        <f t="shared" si="10"/>
        <v>2014.60408163265</v>
      </c>
      <c r="K31" s="50">
        <f t="shared" si="11"/>
        <v>0.00213218254306076</v>
      </c>
      <c r="L31" s="39"/>
    </row>
    <row r="32" ht="30.5" hidden="1" customHeight="1" spans="1:12">
      <c r="A32" s="37" t="s">
        <v>51</v>
      </c>
      <c r="B32" s="38" t="s">
        <v>28</v>
      </c>
      <c r="C32" s="37">
        <v>136.9932</v>
      </c>
      <c r="D32" s="37"/>
      <c r="E32" s="37"/>
      <c r="F32" s="39"/>
      <c r="G32" s="37">
        <f t="shared" si="9"/>
        <v>136.9932</v>
      </c>
      <c r="H32" s="38" t="s">
        <v>29</v>
      </c>
      <c r="I32" s="54">
        <f>1812.528+1558.006+2050</f>
        <v>5420.534</v>
      </c>
      <c r="J32" s="37">
        <f t="shared" si="10"/>
        <v>252.730081574989</v>
      </c>
      <c r="K32" s="50">
        <f t="shared" si="11"/>
        <v>0.00295894984742059</v>
      </c>
      <c r="L32" s="39"/>
    </row>
    <row r="33" ht="30.5" hidden="1" customHeight="1" spans="1:12">
      <c r="A33" s="37" t="s">
        <v>52</v>
      </c>
      <c r="B33" s="38" t="s">
        <v>31</v>
      </c>
      <c r="C33" s="37">
        <v>11.5919</v>
      </c>
      <c r="D33" s="37"/>
      <c r="E33" s="37"/>
      <c r="F33" s="39"/>
      <c r="G33" s="37">
        <f t="shared" si="9"/>
        <v>11.5919</v>
      </c>
      <c r="H33" s="38" t="s">
        <v>26</v>
      </c>
      <c r="I33" s="37">
        <v>41</v>
      </c>
      <c r="J33" s="37">
        <f t="shared" si="10"/>
        <v>2827.29268292683</v>
      </c>
      <c r="K33" s="50">
        <f t="shared" si="11"/>
        <v>0.000250376301424558</v>
      </c>
      <c r="L33" s="39"/>
    </row>
    <row r="34" ht="30.5" hidden="1" customHeight="1" spans="1:12">
      <c r="A34" s="37" t="s">
        <v>53</v>
      </c>
      <c r="B34" s="38" t="s">
        <v>54</v>
      </c>
      <c r="C34" s="39">
        <f>1178854/10000-D34-E34</f>
        <v>39.318964</v>
      </c>
      <c r="D34" s="37">
        <f>78.566436-E34</f>
        <v>13.648836</v>
      </c>
      <c r="E34" s="39">
        <v>64.9176</v>
      </c>
      <c r="F34" s="41"/>
      <c r="G34" s="37">
        <f t="shared" si="9"/>
        <v>117.8854</v>
      </c>
      <c r="H34" s="38" t="s">
        <v>26</v>
      </c>
      <c r="I34" s="37">
        <v>1</v>
      </c>
      <c r="J34" s="37">
        <f t="shared" si="10"/>
        <v>1178854</v>
      </c>
      <c r="K34" s="50">
        <f t="shared" si="11"/>
        <v>0.00254623577187127</v>
      </c>
      <c r="L34" s="39"/>
    </row>
    <row r="35" s="16" customFormat="1" ht="30.5" customHeight="1" spans="1:12">
      <c r="A35" s="36">
        <v>2.2</v>
      </c>
      <c r="B35" s="31" t="s">
        <v>55</v>
      </c>
      <c r="C35" s="32">
        <f>C36+C37+C38+C39+C40</f>
        <v>627.848164</v>
      </c>
      <c r="D35" s="32">
        <f>D36+D37+D38+D39+D40</f>
        <v>13.648836</v>
      </c>
      <c r="E35" s="32">
        <f>E36+E37+E38+E39+E40</f>
        <v>64.9176</v>
      </c>
      <c r="F35" s="32">
        <f>F36+F37+F38+F39+F40</f>
        <v>0</v>
      </c>
      <c r="G35" s="32">
        <f t="shared" si="9"/>
        <v>706.4146</v>
      </c>
      <c r="H35" s="31"/>
      <c r="I35" s="32"/>
      <c r="J35" s="32"/>
      <c r="K35" s="53"/>
      <c r="L35" s="40"/>
    </row>
    <row r="36" ht="30.5" hidden="1" customHeight="1" spans="1:12">
      <c r="A36" s="37" t="s">
        <v>56</v>
      </c>
      <c r="B36" s="38" t="s">
        <v>22</v>
      </c>
      <c r="C36" s="37">
        <v>263.1566</v>
      </c>
      <c r="D36" s="37"/>
      <c r="E36" s="37"/>
      <c r="F36" s="39"/>
      <c r="G36" s="37">
        <f t="shared" si="9"/>
        <v>263.1566</v>
      </c>
      <c r="H36" s="38" t="s">
        <v>23</v>
      </c>
      <c r="I36" s="37">
        <v>10093</v>
      </c>
      <c r="J36" s="37">
        <f t="shared" ref="J36:J40" si="12">G36/I36*10000</f>
        <v>260.73179431289</v>
      </c>
      <c r="K36" s="50">
        <f t="shared" ref="K36:K40" si="13">G36/G$223</f>
        <v>0.00568398417890611</v>
      </c>
      <c r="L36" s="39"/>
    </row>
    <row r="37" ht="30.5" hidden="1" customHeight="1" spans="1:12">
      <c r="A37" s="37" t="s">
        <v>57</v>
      </c>
      <c r="B37" s="38" t="s">
        <v>25</v>
      </c>
      <c r="C37" s="37">
        <v>66.9998</v>
      </c>
      <c r="D37" s="37"/>
      <c r="E37" s="37"/>
      <c r="F37" s="39"/>
      <c r="G37" s="37">
        <f t="shared" si="9"/>
        <v>66.9998</v>
      </c>
      <c r="H37" s="38" t="s">
        <v>26</v>
      </c>
      <c r="I37" s="37">
        <v>325</v>
      </c>
      <c r="J37" s="37">
        <f t="shared" si="12"/>
        <v>2061.53230769231</v>
      </c>
      <c r="K37" s="50">
        <f t="shared" si="13"/>
        <v>0.00144714517207577</v>
      </c>
      <c r="L37" s="39"/>
    </row>
    <row r="38" ht="30.5" hidden="1" customHeight="1" spans="1:12">
      <c r="A38" s="37" t="s">
        <v>58</v>
      </c>
      <c r="B38" s="38" t="s">
        <v>28</v>
      </c>
      <c r="C38" s="37">
        <v>247.0637</v>
      </c>
      <c r="D38" s="37"/>
      <c r="E38" s="37"/>
      <c r="F38" s="39"/>
      <c r="G38" s="37">
        <f t="shared" si="9"/>
        <v>247.0637</v>
      </c>
      <c r="H38" s="38" t="s">
        <v>29</v>
      </c>
      <c r="I38" s="54">
        <f>1613.772+4250.223+1975</f>
        <v>7838.995</v>
      </c>
      <c r="J38" s="37">
        <f t="shared" si="12"/>
        <v>315.172672007062</v>
      </c>
      <c r="K38" s="50">
        <f t="shared" si="13"/>
        <v>0.0053363896705688</v>
      </c>
      <c r="L38" s="39"/>
    </row>
    <row r="39" ht="30.5" hidden="1" customHeight="1" spans="1:12">
      <c r="A39" s="37" t="s">
        <v>59</v>
      </c>
      <c r="B39" s="38" t="s">
        <v>31</v>
      </c>
      <c r="C39" s="37">
        <v>11.3091</v>
      </c>
      <c r="D39" s="37"/>
      <c r="E39" s="37"/>
      <c r="F39" s="39"/>
      <c r="G39" s="37">
        <f t="shared" si="9"/>
        <v>11.3091</v>
      </c>
      <c r="H39" s="38" t="s">
        <v>26</v>
      </c>
      <c r="I39" s="37">
        <v>40</v>
      </c>
      <c r="J39" s="37">
        <f t="shared" si="12"/>
        <v>2827.275</v>
      </c>
      <c r="K39" s="50">
        <f t="shared" si="13"/>
        <v>0.000244268034613865</v>
      </c>
      <c r="L39" s="39"/>
    </row>
    <row r="40" ht="30.5" hidden="1" customHeight="1" spans="1:12">
      <c r="A40" s="37" t="s">
        <v>60</v>
      </c>
      <c r="B40" s="38" t="s">
        <v>54</v>
      </c>
      <c r="C40" s="39">
        <f>1178854/10000-D40-E40</f>
        <v>39.318964</v>
      </c>
      <c r="D40" s="37">
        <f>78.566436-E40</f>
        <v>13.648836</v>
      </c>
      <c r="E40" s="39">
        <v>64.9176</v>
      </c>
      <c r="F40" s="39"/>
      <c r="G40" s="37">
        <f t="shared" si="9"/>
        <v>117.8854</v>
      </c>
      <c r="H40" s="38" t="s">
        <v>26</v>
      </c>
      <c r="I40" s="37">
        <v>1</v>
      </c>
      <c r="J40" s="37">
        <f t="shared" si="12"/>
        <v>1178854</v>
      </c>
      <c r="K40" s="50">
        <f t="shared" si="13"/>
        <v>0.00254623577187127</v>
      </c>
      <c r="L40" s="39"/>
    </row>
    <row r="41" s="16" customFormat="1" ht="30.5" customHeight="1" spans="1:12">
      <c r="A41" s="35">
        <v>3</v>
      </c>
      <c r="B41" s="31" t="s">
        <v>61</v>
      </c>
      <c r="C41" s="32">
        <f t="shared" ref="C41:F41" si="14">C42+C47+C52+C58+C64+C69</f>
        <v>3746.483586</v>
      </c>
      <c r="D41" s="32">
        <f t="shared" si="14"/>
        <v>34.279114</v>
      </c>
      <c r="E41" s="32">
        <f t="shared" si="14"/>
        <v>152.6352</v>
      </c>
      <c r="F41" s="32">
        <f t="shared" si="14"/>
        <v>0</v>
      </c>
      <c r="G41" s="32">
        <f t="shared" si="9"/>
        <v>3933.3979</v>
      </c>
      <c r="H41" s="31"/>
      <c r="I41" s="32"/>
      <c r="J41" s="32"/>
      <c r="K41" s="53"/>
      <c r="L41" s="40"/>
    </row>
    <row r="42" s="16" customFormat="1" ht="30.5" customHeight="1" spans="1:12">
      <c r="A42" s="36">
        <v>3.1</v>
      </c>
      <c r="B42" s="31" t="s">
        <v>62</v>
      </c>
      <c r="C42" s="32">
        <f t="shared" ref="C42:F42" si="15">C43+C44+C45+C46</f>
        <v>565.6282</v>
      </c>
      <c r="D42" s="32">
        <f t="shared" si="15"/>
        <v>0</v>
      </c>
      <c r="E42" s="32">
        <f t="shared" si="15"/>
        <v>0</v>
      </c>
      <c r="F42" s="32">
        <f t="shared" si="15"/>
        <v>0</v>
      </c>
      <c r="G42" s="32">
        <f t="shared" si="9"/>
        <v>565.6282</v>
      </c>
      <c r="H42" s="31"/>
      <c r="I42" s="32"/>
      <c r="J42" s="32"/>
      <c r="K42" s="53"/>
      <c r="L42" s="40"/>
    </row>
    <row r="43" ht="30.5" hidden="1" customHeight="1" spans="1:12">
      <c r="A43" s="37" t="s">
        <v>63</v>
      </c>
      <c r="B43" s="38" t="s">
        <v>22</v>
      </c>
      <c r="C43" s="37">
        <v>282.284</v>
      </c>
      <c r="D43" s="37"/>
      <c r="E43" s="37"/>
      <c r="F43" s="39"/>
      <c r="G43" s="37">
        <f t="shared" si="9"/>
        <v>282.284</v>
      </c>
      <c r="H43" s="38" t="s">
        <v>23</v>
      </c>
      <c r="I43" s="37">
        <v>10577.69</v>
      </c>
      <c r="J43" s="37">
        <f t="shared" ref="J43:J46" si="16">G43/I43*10000</f>
        <v>266.867340600831</v>
      </c>
      <c r="K43" s="50">
        <f t="shared" ref="K43:K46" si="17">G43/G$223</f>
        <v>0.00609712159967994</v>
      </c>
      <c r="L43" s="39"/>
    </row>
    <row r="44" ht="30.5" hidden="1" customHeight="1" spans="1:12">
      <c r="A44" s="37" t="s">
        <v>64</v>
      </c>
      <c r="B44" s="38" t="s">
        <v>25</v>
      </c>
      <c r="C44" s="37">
        <v>85.1828</v>
      </c>
      <c r="D44" s="37"/>
      <c r="E44" s="37"/>
      <c r="F44" s="39"/>
      <c r="G44" s="37">
        <f t="shared" si="9"/>
        <v>85.1828</v>
      </c>
      <c r="H44" s="38" t="s">
        <v>26</v>
      </c>
      <c r="I44" s="37">
        <v>301</v>
      </c>
      <c r="J44" s="37">
        <f t="shared" si="16"/>
        <v>2829.99335548173</v>
      </c>
      <c r="K44" s="50">
        <f t="shared" si="17"/>
        <v>0.00183988426478729</v>
      </c>
      <c r="L44" s="39"/>
    </row>
    <row r="45" ht="30.5" hidden="1" customHeight="1" spans="1:12">
      <c r="A45" s="37" t="s">
        <v>65</v>
      </c>
      <c r="B45" s="38" t="s">
        <v>28</v>
      </c>
      <c r="C45" s="37">
        <v>187.4177</v>
      </c>
      <c r="D45" s="37"/>
      <c r="E45" s="37"/>
      <c r="F45" s="39"/>
      <c r="G45" s="37">
        <f t="shared" si="9"/>
        <v>187.4177</v>
      </c>
      <c r="H45" s="38" t="s">
        <v>29</v>
      </c>
      <c r="I45" s="54">
        <f>150.791+4199.339+1995</f>
        <v>6345.13</v>
      </c>
      <c r="J45" s="37">
        <f t="shared" si="16"/>
        <v>295.372514038325</v>
      </c>
      <c r="K45" s="50">
        <f t="shared" si="17"/>
        <v>0.00404808103481718</v>
      </c>
      <c r="L45" s="39"/>
    </row>
    <row r="46" ht="30.5" hidden="1" customHeight="1" spans="1:12">
      <c r="A46" s="37" t="s">
        <v>66</v>
      </c>
      <c r="B46" s="38" t="s">
        <v>31</v>
      </c>
      <c r="C46" s="37">
        <v>10.7437</v>
      </c>
      <c r="D46" s="37"/>
      <c r="E46" s="37"/>
      <c r="F46" s="39"/>
      <c r="G46" s="37">
        <f t="shared" si="9"/>
        <v>10.7437</v>
      </c>
      <c r="H46" s="38" t="s">
        <v>26</v>
      </c>
      <c r="I46" s="37">
        <v>38</v>
      </c>
      <c r="J46" s="37">
        <f t="shared" si="16"/>
        <v>2827.28947368421</v>
      </c>
      <c r="K46" s="50">
        <f t="shared" si="17"/>
        <v>0.00023205582084171</v>
      </c>
      <c r="L46" s="39"/>
    </row>
    <row r="47" s="16" customFormat="1" ht="30.5" customHeight="1" spans="1:12">
      <c r="A47" s="36">
        <v>3.2</v>
      </c>
      <c r="B47" s="31" t="s">
        <v>67</v>
      </c>
      <c r="C47" s="32">
        <f>C48+C49+C50+C51</f>
        <v>895.1222</v>
      </c>
      <c r="D47" s="32">
        <f>D48+D49+D50+D51</f>
        <v>0</v>
      </c>
      <c r="E47" s="32">
        <f>E48+E49+E50+E51</f>
        <v>0</v>
      </c>
      <c r="F47" s="32">
        <f>F48+F49+F50+F51</f>
        <v>0</v>
      </c>
      <c r="G47" s="32">
        <f t="shared" si="9"/>
        <v>895.1222</v>
      </c>
      <c r="H47" s="31"/>
      <c r="I47" s="32"/>
      <c r="J47" s="39"/>
      <c r="K47" s="53"/>
      <c r="L47" s="40"/>
    </row>
    <row r="48" ht="30.5" hidden="1" customHeight="1" spans="1:12">
      <c r="A48" s="37" t="s">
        <v>68</v>
      </c>
      <c r="B48" s="38" t="s">
        <v>22</v>
      </c>
      <c r="C48" s="37">
        <v>468.6487</v>
      </c>
      <c r="D48" s="37"/>
      <c r="E48" s="37"/>
      <c r="F48" s="37"/>
      <c r="G48" s="37">
        <f t="shared" si="9"/>
        <v>468.6487</v>
      </c>
      <c r="H48" s="38" t="s">
        <v>23</v>
      </c>
      <c r="I48" s="37">
        <v>16277.203</v>
      </c>
      <c r="J48" s="37">
        <f t="shared" ref="J48:J51" si="18">G48/I48*10000</f>
        <v>287.917217718548</v>
      </c>
      <c r="K48" s="50">
        <f t="shared" ref="K48:K51" si="19">G48/G$223</f>
        <v>0.0101224586283031</v>
      </c>
      <c r="L48" s="39"/>
    </row>
    <row r="49" ht="30.5" hidden="1" customHeight="1" spans="1:12">
      <c r="A49" s="37" t="s">
        <v>69</v>
      </c>
      <c r="B49" s="38" t="s">
        <v>25</v>
      </c>
      <c r="C49" s="37">
        <v>156.1031</v>
      </c>
      <c r="D49" s="37"/>
      <c r="E49" s="37"/>
      <c r="F49" s="37"/>
      <c r="G49" s="37">
        <f t="shared" si="9"/>
        <v>156.1031</v>
      </c>
      <c r="H49" s="38" t="s">
        <v>26</v>
      </c>
      <c r="I49" s="37">
        <v>491</v>
      </c>
      <c r="J49" s="37">
        <f t="shared" si="18"/>
        <v>3179.28920570265</v>
      </c>
      <c r="K49" s="50">
        <f t="shared" si="19"/>
        <v>0.00337170928138682</v>
      </c>
      <c r="L49" s="39"/>
    </row>
    <row r="50" ht="30.5" hidden="1" customHeight="1" spans="1:12">
      <c r="A50" s="37" t="s">
        <v>70</v>
      </c>
      <c r="B50" s="38" t="s">
        <v>28</v>
      </c>
      <c r="C50" s="37">
        <v>253.9722</v>
      </c>
      <c r="D50" s="37"/>
      <c r="E50" s="37"/>
      <c r="F50" s="37"/>
      <c r="G50" s="37">
        <f t="shared" si="9"/>
        <v>253.9722</v>
      </c>
      <c r="H50" s="38" t="s">
        <v>29</v>
      </c>
      <c r="I50" s="54">
        <f>1703.45+5497.676+2855</f>
        <v>10056.126</v>
      </c>
      <c r="J50" s="37">
        <f t="shared" si="18"/>
        <v>252.554711426647</v>
      </c>
      <c r="K50" s="50">
        <f t="shared" si="19"/>
        <v>0.00548560806258319</v>
      </c>
      <c r="L50" s="39"/>
    </row>
    <row r="51" ht="30.5" hidden="1" customHeight="1" spans="1:12">
      <c r="A51" s="37" t="s">
        <v>71</v>
      </c>
      <c r="B51" s="38" t="s">
        <v>31</v>
      </c>
      <c r="C51" s="37">
        <v>16.3982</v>
      </c>
      <c r="D51" s="37"/>
      <c r="E51" s="37"/>
      <c r="F51" s="37"/>
      <c r="G51" s="37">
        <f t="shared" si="9"/>
        <v>16.3982</v>
      </c>
      <c r="H51" s="38" t="s">
        <v>26</v>
      </c>
      <c r="I51" s="37">
        <v>58</v>
      </c>
      <c r="J51" s="37">
        <f t="shared" si="18"/>
        <v>2827.27586206897</v>
      </c>
      <c r="K51" s="50">
        <f t="shared" si="19"/>
        <v>0.000354188758186335</v>
      </c>
      <c r="L51" s="39"/>
    </row>
    <row r="52" s="16" customFormat="1" ht="30.5" customHeight="1" spans="1:12">
      <c r="A52" s="36">
        <v>3.3</v>
      </c>
      <c r="B52" s="31" t="s">
        <v>72</v>
      </c>
      <c r="C52" s="32">
        <f>C53+C54+C55+C56+C57</f>
        <v>874.876558</v>
      </c>
      <c r="D52" s="32">
        <f>D53+D54+D55+D56+D57</f>
        <v>6.981442</v>
      </c>
      <c r="E52" s="32">
        <f>E53+E54+E55+E56+E57</f>
        <v>22.8</v>
      </c>
      <c r="F52" s="32">
        <f>F53+F54+F55+F56+F57</f>
        <v>0</v>
      </c>
      <c r="G52" s="32">
        <f t="shared" si="9"/>
        <v>904.658</v>
      </c>
      <c r="H52" s="31"/>
      <c r="I52" s="32"/>
      <c r="J52" s="32"/>
      <c r="K52" s="53"/>
      <c r="L52" s="40"/>
    </row>
    <row r="53" ht="30.5" hidden="1" customHeight="1" spans="1:12">
      <c r="A53" s="37" t="s">
        <v>73</v>
      </c>
      <c r="B53" s="38" t="s">
        <v>22</v>
      </c>
      <c r="C53" s="37">
        <v>429.0368</v>
      </c>
      <c r="D53" s="37"/>
      <c r="E53" s="37"/>
      <c r="F53" s="37"/>
      <c r="G53" s="37">
        <f t="shared" si="9"/>
        <v>429.0368</v>
      </c>
      <c r="H53" s="38" t="s">
        <v>23</v>
      </c>
      <c r="I53" s="37">
        <v>15654.35</v>
      </c>
      <c r="J53" s="37">
        <f t="shared" ref="J53:J57" si="20">G53/I53*10000</f>
        <v>274.068741276386</v>
      </c>
      <c r="K53" s="50">
        <f t="shared" ref="K53:K57" si="21">G53/G$223</f>
        <v>0.00926687144980786</v>
      </c>
      <c r="L53" s="39"/>
    </row>
    <row r="54" ht="30.5" hidden="1" customHeight="1" spans="1:12">
      <c r="A54" s="37" t="s">
        <v>74</v>
      </c>
      <c r="B54" s="38" t="s">
        <v>25</v>
      </c>
      <c r="C54" s="37">
        <v>161.8372</v>
      </c>
      <c r="D54" s="37"/>
      <c r="E54" s="37"/>
      <c r="F54" s="37"/>
      <c r="G54" s="37">
        <f t="shared" si="9"/>
        <v>161.8372</v>
      </c>
      <c r="H54" s="38" t="s">
        <v>26</v>
      </c>
      <c r="I54" s="37">
        <v>499</v>
      </c>
      <c r="J54" s="37">
        <f t="shared" si="20"/>
        <v>3243.23046092184</v>
      </c>
      <c r="K54" s="50">
        <f t="shared" si="21"/>
        <v>0.00349556151872484</v>
      </c>
      <c r="L54" s="39"/>
    </row>
    <row r="55" ht="30.5" hidden="1" customHeight="1" spans="1:12">
      <c r="A55" s="37" t="s">
        <v>75</v>
      </c>
      <c r="B55" s="38" t="s">
        <v>28</v>
      </c>
      <c r="C55" s="37">
        <v>263.5842</v>
      </c>
      <c r="D55" s="37"/>
      <c r="E55" s="37"/>
      <c r="F55" s="37"/>
      <c r="G55" s="37">
        <f t="shared" si="9"/>
        <v>263.5842</v>
      </c>
      <c r="H55" s="38" t="s">
        <v>29</v>
      </c>
      <c r="I55" s="54">
        <f>1760.616+7286.82+2425</f>
        <v>11472.436</v>
      </c>
      <c r="J55" s="37">
        <f t="shared" si="20"/>
        <v>229.754343367006</v>
      </c>
      <c r="K55" s="50">
        <f t="shared" si="21"/>
        <v>0.00569322001655905</v>
      </c>
      <c r="L55" s="39"/>
    </row>
    <row r="56" ht="30.5" hidden="1" customHeight="1" spans="1:12">
      <c r="A56" s="37" t="s">
        <v>76</v>
      </c>
      <c r="B56" s="38" t="s">
        <v>31</v>
      </c>
      <c r="C56" s="37">
        <v>13.8537</v>
      </c>
      <c r="D56" s="37"/>
      <c r="E56" s="37"/>
      <c r="F56" s="37"/>
      <c r="G56" s="37">
        <f t="shared" si="9"/>
        <v>13.8537</v>
      </c>
      <c r="H56" s="38" t="s">
        <v>26</v>
      </c>
      <c r="I56" s="37">
        <v>49</v>
      </c>
      <c r="J56" s="37">
        <f t="shared" si="20"/>
        <v>2827.28571428571</v>
      </c>
      <c r="K56" s="50">
        <f t="shared" si="21"/>
        <v>0.000299229476362408</v>
      </c>
      <c r="L56" s="39"/>
    </row>
    <row r="57" ht="30.5" hidden="1" customHeight="1" spans="1:12">
      <c r="A57" s="37" t="s">
        <v>77</v>
      </c>
      <c r="B57" s="38" t="s">
        <v>78</v>
      </c>
      <c r="C57" s="37">
        <f>36.3461-D57-E57</f>
        <v>6.564658</v>
      </c>
      <c r="D57" s="37">
        <f>29.781442-E57</f>
        <v>6.981442</v>
      </c>
      <c r="E57" s="37">
        <v>22.8</v>
      </c>
      <c r="F57" s="37"/>
      <c r="G57" s="37">
        <f t="shared" si="9"/>
        <v>36.3461</v>
      </c>
      <c r="H57" s="38" t="s">
        <v>26</v>
      </c>
      <c r="I57" s="37">
        <v>1</v>
      </c>
      <c r="J57" s="37">
        <f t="shared" si="20"/>
        <v>363461</v>
      </c>
      <c r="K57" s="50">
        <f t="shared" si="21"/>
        <v>0.000785048360424703</v>
      </c>
      <c r="L57" s="39"/>
    </row>
    <row r="58" s="16" customFormat="1" ht="30.5" customHeight="1" spans="1:12">
      <c r="A58" s="36">
        <v>3.4</v>
      </c>
      <c r="B58" s="31" t="s">
        <v>79</v>
      </c>
      <c r="C58" s="32">
        <f>C59+C60+C61+C62+C63</f>
        <v>537.420064</v>
      </c>
      <c r="D58" s="32">
        <f>D59+D60+D61+D62+D63</f>
        <v>13.648836</v>
      </c>
      <c r="E58" s="32">
        <f>E59+E60+E61+E62+E63</f>
        <v>64.9176</v>
      </c>
      <c r="F58" s="32">
        <f>F59+F60+F61+F62+F63</f>
        <v>0</v>
      </c>
      <c r="G58" s="32">
        <f t="shared" si="9"/>
        <v>615.9865</v>
      </c>
      <c r="H58" s="31"/>
      <c r="I58" s="32"/>
      <c r="J58" s="32"/>
      <c r="K58" s="53"/>
      <c r="L58" s="40"/>
    </row>
    <row r="59" ht="30.5" hidden="1" customHeight="1" spans="1:12">
      <c r="A59" s="37" t="s">
        <v>80</v>
      </c>
      <c r="B59" s="38" t="s">
        <v>22</v>
      </c>
      <c r="C59" s="37">
        <v>217.0056</v>
      </c>
      <c r="D59" s="37"/>
      <c r="E59" s="37"/>
      <c r="F59" s="37"/>
      <c r="G59" s="37">
        <f t="shared" si="9"/>
        <v>217.0056</v>
      </c>
      <c r="H59" s="38" t="s">
        <v>23</v>
      </c>
      <c r="I59" s="37">
        <v>10835</v>
      </c>
      <c r="J59" s="37">
        <f t="shared" ref="J59:J63" si="22">G59/I59*10000</f>
        <v>200.282048915551</v>
      </c>
      <c r="K59" s="50">
        <f t="shared" ref="K59:K63" si="23">G59/G$223</f>
        <v>0.00468715736992357</v>
      </c>
      <c r="L59" s="39"/>
    </row>
    <row r="60" ht="30.5" hidden="1" customHeight="1" spans="1:12">
      <c r="A60" s="37" t="s">
        <v>81</v>
      </c>
      <c r="B60" s="38" t="s">
        <v>25</v>
      </c>
      <c r="C60" s="37">
        <v>70.393</v>
      </c>
      <c r="D60" s="37"/>
      <c r="E60" s="37"/>
      <c r="F60" s="37"/>
      <c r="G60" s="37">
        <f t="shared" si="9"/>
        <v>70.393</v>
      </c>
      <c r="H60" s="38" t="s">
        <v>26</v>
      </c>
      <c r="I60" s="37">
        <v>278</v>
      </c>
      <c r="J60" s="37">
        <f t="shared" si="22"/>
        <v>2532.12230215827</v>
      </c>
      <c r="K60" s="50">
        <f t="shared" si="23"/>
        <v>0.00152043573410562</v>
      </c>
      <c r="L60" s="39"/>
    </row>
    <row r="61" ht="30.5" hidden="1" customHeight="1" spans="1:12">
      <c r="A61" s="37" t="s">
        <v>82</v>
      </c>
      <c r="B61" s="38" t="s">
        <v>28</v>
      </c>
      <c r="C61" s="37">
        <v>201.9353</v>
      </c>
      <c r="D61" s="37"/>
      <c r="E61" s="37"/>
      <c r="F61" s="37"/>
      <c r="G61" s="37">
        <f t="shared" si="9"/>
        <v>201.9353</v>
      </c>
      <c r="H61" s="38" t="s">
        <v>29</v>
      </c>
      <c r="I61" s="54">
        <f>2996.793+3333.654+1795</f>
        <v>8125.447</v>
      </c>
      <c r="J61" s="37">
        <f t="shared" si="22"/>
        <v>248.522081308265</v>
      </c>
      <c r="K61" s="50">
        <f t="shared" si="23"/>
        <v>0.00436165025069734</v>
      </c>
      <c r="L61" s="39"/>
    </row>
    <row r="62" ht="30.5" hidden="1" customHeight="1" spans="1:12">
      <c r="A62" s="37" t="s">
        <v>83</v>
      </c>
      <c r="B62" s="38" t="s">
        <v>31</v>
      </c>
      <c r="C62" s="37">
        <v>8.7645</v>
      </c>
      <c r="D62" s="37"/>
      <c r="E62" s="37"/>
      <c r="F62" s="37"/>
      <c r="G62" s="37">
        <f t="shared" si="9"/>
        <v>8.7645</v>
      </c>
      <c r="H62" s="38" t="s">
        <v>26</v>
      </c>
      <c r="I62" s="37">
        <v>31</v>
      </c>
      <c r="J62" s="37">
        <f t="shared" si="22"/>
        <v>2827.25806451613</v>
      </c>
      <c r="K62" s="50">
        <f t="shared" si="23"/>
        <v>0.000189306592865323</v>
      </c>
      <c r="L62" s="39"/>
    </row>
    <row r="63" ht="30.5" hidden="1" customHeight="1" spans="1:12">
      <c r="A63" s="37" t="s">
        <v>84</v>
      </c>
      <c r="B63" s="38" t="s">
        <v>54</v>
      </c>
      <c r="C63" s="39">
        <f>1178881/10000-D63-E63</f>
        <v>39.321664</v>
      </c>
      <c r="D63" s="37">
        <f>78.566436-E63</f>
        <v>13.648836</v>
      </c>
      <c r="E63" s="39">
        <v>64.9176</v>
      </c>
      <c r="F63" s="37"/>
      <c r="G63" s="37">
        <f t="shared" si="9"/>
        <v>117.8881</v>
      </c>
      <c r="H63" s="38" t="s">
        <v>26</v>
      </c>
      <c r="I63" s="37">
        <v>1</v>
      </c>
      <c r="J63" s="37">
        <f t="shared" si="22"/>
        <v>1178881</v>
      </c>
      <c r="K63" s="50">
        <f t="shared" si="23"/>
        <v>0.00254629408983587</v>
      </c>
      <c r="L63" s="39"/>
    </row>
    <row r="64" s="16" customFormat="1" ht="30.5" customHeight="1" spans="1:12">
      <c r="A64" s="36">
        <v>3.5</v>
      </c>
      <c r="B64" s="31" t="s">
        <v>85</v>
      </c>
      <c r="C64" s="32">
        <f>C65+C66+C67+C68</f>
        <v>371.6881</v>
      </c>
      <c r="D64" s="32">
        <f>D65+D66+D67+D68</f>
        <v>0</v>
      </c>
      <c r="E64" s="32">
        <f>E65+E66+E67+E68</f>
        <v>0</v>
      </c>
      <c r="F64" s="32">
        <f>F65+F66+F67+F68</f>
        <v>0</v>
      </c>
      <c r="G64" s="32">
        <f t="shared" si="9"/>
        <v>371.6881</v>
      </c>
      <c r="H64" s="31"/>
      <c r="I64" s="32"/>
      <c r="J64" s="32"/>
      <c r="K64" s="53"/>
      <c r="L64" s="40"/>
    </row>
    <row r="65" ht="30.5" hidden="1" customHeight="1" spans="1:12">
      <c r="A65" s="37" t="s">
        <v>86</v>
      </c>
      <c r="B65" s="38" t="s">
        <v>22</v>
      </c>
      <c r="C65" s="37">
        <v>159.3569</v>
      </c>
      <c r="D65" s="37"/>
      <c r="E65" s="37"/>
      <c r="F65" s="37"/>
      <c r="G65" s="37">
        <f t="shared" si="9"/>
        <v>159.3569</v>
      </c>
      <c r="H65" s="38" t="s">
        <v>23</v>
      </c>
      <c r="I65" s="37">
        <v>5709</v>
      </c>
      <c r="J65" s="37">
        <f t="shared" ref="J65:J68" si="24">G65/I65*10000</f>
        <v>279.132772814854</v>
      </c>
      <c r="K65" s="50">
        <f t="shared" ref="K65:K68" si="25">G65/G$223</f>
        <v>0.00344198890850362</v>
      </c>
      <c r="L65" s="39"/>
    </row>
    <row r="66" ht="30.5" hidden="1" customHeight="1" spans="1:12">
      <c r="A66" s="37" t="s">
        <v>87</v>
      </c>
      <c r="B66" s="38" t="s">
        <v>25</v>
      </c>
      <c r="C66" s="37">
        <v>63.4755</v>
      </c>
      <c r="D66" s="37"/>
      <c r="E66" s="37"/>
      <c r="F66" s="37"/>
      <c r="G66" s="37">
        <f t="shared" si="9"/>
        <v>63.4755</v>
      </c>
      <c r="H66" s="38" t="s">
        <v>26</v>
      </c>
      <c r="I66" s="37">
        <v>220</v>
      </c>
      <c r="J66" s="37">
        <f t="shared" si="24"/>
        <v>2885.25</v>
      </c>
      <c r="K66" s="50">
        <f t="shared" si="25"/>
        <v>0.0013710229488759</v>
      </c>
      <c r="L66" s="39"/>
    </row>
    <row r="67" ht="30.5" hidden="1" customHeight="1" spans="1:12">
      <c r="A67" s="37" t="s">
        <v>88</v>
      </c>
      <c r="B67" s="38" t="s">
        <v>28</v>
      </c>
      <c r="C67" s="37">
        <v>144.0492</v>
      </c>
      <c r="D67" s="37"/>
      <c r="E67" s="37"/>
      <c r="F67" s="37"/>
      <c r="G67" s="37">
        <f t="shared" si="9"/>
        <v>144.0492</v>
      </c>
      <c r="H67" s="38" t="s">
        <v>29</v>
      </c>
      <c r="I67" s="54">
        <f>1690.554+1741.664+895</f>
        <v>4327.218</v>
      </c>
      <c r="J67" s="37">
        <f t="shared" si="24"/>
        <v>332.891016814961</v>
      </c>
      <c r="K67" s="50">
        <f t="shared" si="25"/>
        <v>0.00311135412824182</v>
      </c>
      <c r="L67" s="39"/>
    </row>
    <row r="68" ht="30.5" hidden="1" customHeight="1" spans="1:12">
      <c r="A68" s="37" t="s">
        <v>89</v>
      </c>
      <c r="B68" s="38" t="s">
        <v>31</v>
      </c>
      <c r="C68" s="37">
        <v>4.8065</v>
      </c>
      <c r="D68" s="37"/>
      <c r="E68" s="37"/>
      <c r="F68" s="37"/>
      <c r="G68" s="37">
        <f t="shared" si="9"/>
        <v>4.8065</v>
      </c>
      <c r="H68" s="38" t="s">
        <v>26</v>
      </c>
      <c r="I68" s="37">
        <v>17</v>
      </c>
      <c r="J68" s="37">
        <f t="shared" si="24"/>
        <v>2827.35294117647</v>
      </c>
      <c r="K68" s="50">
        <f t="shared" si="25"/>
        <v>0.000103816776611007</v>
      </c>
      <c r="L68" s="39"/>
    </row>
    <row r="69" s="16" customFormat="1" ht="30.5" customHeight="1" spans="1:12">
      <c r="A69" s="36">
        <v>3.6</v>
      </c>
      <c r="B69" s="31" t="s">
        <v>90</v>
      </c>
      <c r="C69" s="32">
        <f>C70+C71+C72+C73+C74</f>
        <v>501.748464</v>
      </c>
      <c r="D69" s="32">
        <f>D70+D71+D72+D73+D74</f>
        <v>13.648836</v>
      </c>
      <c r="E69" s="32">
        <f>E70+E71+E72+E73+E74</f>
        <v>64.9176</v>
      </c>
      <c r="F69" s="32">
        <f>F70+F71+F72+F73+F74</f>
        <v>0</v>
      </c>
      <c r="G69" s="32">
        <f t="shared" si="9"/>
        <v>580.3149</v>
      </c>
      <c r="H69" s="31"/>
      <c r="I69" s="32"/>
      <c r="J69" s="39"/>
      <c r="K69" s="53"/>
      <c r="L69" s="40"/>
    </row>
    <row r="70" ht="30.5" hidden="1" customHeight="1" spans="1:12">
      <c r="A70" s="37" t="s">
        <v>91</v>
      </c>
      <c r="B70" s="38" t="s">
        <v>22</v>
      </c>
      <c r="C70" s="37">
        <v>195.7738</v>
      </c>
      <c r="D70" s="37"/>
      <c r="E70" s="37"/>
      <c r="F70" s="37"/>
      <c r="G70" s="37">
        <f t="shared" si="9"/>
        <v>195.7738</v>
      </c>
      <c r="H70" s="38" t="s">
        <v>23</v>
      </c>
      <c r="I70" s="37">
        <v>9952</v>
      </c>
      <c r="J70" s="37">
        <f t="shared" ref="J70:J74" si="26">G70/I70*10000</f>
        <v>196.718046623794</v>
      </c>
      <c r="K70" s="50">
        <f t="shared" ref="K70:K74" si="27">G70/G$223</f>
        <v>0.00422856649555561</v>
      </c>
      <c r="L70" s="39"/>
    </row>
    <row r="71" ht="30.5" hidden="1" customHeight="1" spans="1:12">
      <c r="A71" s="37" t="s">
        <v>92</v>
      </c>
      <c r="B71" s="38" t="s">
        <v>25</v>
      </c>
      <c r="C71" s="37">
        <v>63.2925</v>
      </c>
      <c r="D71" s="37"/>
      <c r="E71" s="37"/>
      <c r="F71" s="37"/>
      <c r="G71" s="37">
        <f t="shared" si="9"/>
        <v>63.2925</v>
      </c>
      <c r="H71" s="38" t="s">
        <v>26</v>
      </c>
      <c r="I71" s="37">
        <v>297</v>
      </c>
      <c r="J71" s="37">
        <f t="shared" si="26"/>
        <v>2131.06060606061</v>
      </c>
      <c r="K71" s="50">
        <f t="shared" si="27"/>
        <v>0.00136707028683079</v>
      </c>
      <c r="L71" s="39"/>
    </row>
    <row r="72" ht="30.5" hidden="1" customHeight="1" spans="1:12">
      <c r="A72" s="37" t="s">
        <v>93</v>
      </c>
      <c r="B72" s="38" t="s">
        <v>28</v>
      </c>
      <c r="C72" s="37">
        <v>193.4515</v>
      </c>
      <c r="D72" s="37"/>
      <c r="E72" s="37"/>
      <c r="F72" s="37"/>
      <c r="G72" s="37">
        <f t="shared" si="9"/>
        <v>193.4515</v>
      </c>
      <c r="H72" s="38" t="s">
        <v>29</v>
      </c>
      <c r="I72" s="54">
        <f>1958.016+4332.532+1705</f>
        <v>7995.548</v>
      </c>
      <c r="J72" s="37">
        <f t="shared" si="26"/>
        <v>241.949019629424</v>
      </c>
      <c r="K72" s="50">
        <f t="shared" si="27"/>
        <v>0.0041784065662258</v>
      </c>
      <c r="L72" s="39"/>
    </row>
    <row r="73" ht="30.5" hidden="1" customHeight="1" spans="1:12">
      <c r="A73" s="37" t="s">
        <v>94</v>
      </c>
      <c r="B73" s="38" t="s">
        <v>31</v>
      </c>
      <c r="C73" s="37">
        <v>9.8955</v>
      </c>
      <c r="D73" s="37"/>
      <c r="E73" s="37"/>
      <c r="F73" s="37"/>
      <c r="G73" s="37">
        <f t="shared" si="9"/>
        <v>9.8955</v>
      </c>
      <c r="H73" s="38" t="s">
        <v>26</v>
      </c>
      <c r="I73" s="37">
        <v>35</v>
      </c>
      <c r="J73" s="37">
        <f t="shared" si="26"/>
        <v>2827.28571428571</v>
      </c>
      <c r="K73" s="50">
        <f t="shared" si="27"/>
        <v>0.000213735340258863</v>
      </c>
      <c r="L73" s="39"/>
    </row>
    <row r="74" ht="30.5" hidden="1" customHeight="1" spans="1:12">
      <c r="A74" s="37" t="s">
        <v>95</v>
      </c>
      <c r="B74" s="38" t="s">
        <v>54</v>
      </c>
      <c r="C74" s="39">
        <f>1179016/10000-D74-E74</f>
        <v>39.335164</v>
      </c>
      <c r="D74" s="37">
        <f>78.566436-E74</f>
        <v>13.648836</v>
      </c>
      <c r="E74" s="39">
        <v>64.9176</v>
      </c>
      <c r="F74" s="37"/>
      <c r="G74" s="37">
        <f t="shared" si="9"/>
        <v>117.9016</v>
      </c>
      <c r="H74" s="38" t="s">
        <v>26</v>
      </c>
      <c r="I74" s="37">
        <v>1</v>
      </c>
      <c r="J74" s="37">
        <f t="shared" si="26"/>
        <v>1179016</v>
      </c>
      <c r="K74" s="50">
        <f t="shared" si="27"/>
        <v>0.00254658567965887</v>
      </c>
      <c r="L74" s="39"/>
    </row>
    <row r="75" s="16" customFormat="1" ht="30.5" customHeight="1" spans="1:12">
      <c r="A75" s="35">
        <v>4</v>
      </c>
      <c r="B75" s="31" t="s">
        <v>96</v>
      </c>
      <c r="C75" s="40">
        <f t="shared" ref="C75:F75" si="28">C76+C83+C89</f>
        <v>3107.023358</v>
      </c>
      <c r="D75" s="40">
        <f t="shared" si="28"/>
        <v>14.070842</v>
      </c>
      <c r="E75" s="40">
        <f t="shared" si="28"/>
        <v>46.8</v>
      </c>
      <c r="F75" s="40">
        <f t="shared" si="28"/>
        <v>0</v>
      </c>
      <c r="G75" s="32">
        <f t="shared" si="9"/>
        <v>3167.8942</v>
      </c>
      <c r="H75" s="31"/>
      <c r="I75" s="32"/>
      <c r="J75" s="32"/>
      <c r="K75" s="53"/>
      <c r="L75" s="40"/>
    </row>
    <row r="76" s="16" customFormat="1" ht="30.5" customHeight="1" spans="1:12">
      <c r="A76" s="36">
        <v>4.1</v>
      </c>
      <c r="B76" s="31" t="s">
        <v>97</v>
      </c>
      <c r="C76" s="32">
        <f t="shared" ref="C76:F76" si="29">C77+C78+C79+C80+C81+C82</f>
        <v>1188.968258</v>
      </c>
      <c r="D76" s="32">
        <f t="shared" si="29"/>
        <v>7.089442</v>
      </c>
      <c r="E76" s="32">
        <f t="shared" si="29"/>
        <v>24</v>
      </c>
      <c r="F76" s="32">
        <f t="shared" si="29"/>
        <v>0</v>
      </c>
      <c r="G76" s="32">
        <f t="shared" si="9"/>
        <v>1220.0577</v>
      </c>
      <c r="H76" s="31"/>
      <c r="I76" s="32"/>
      <c r="J76" s="32"/>
      <c r="K76" s="53"/>
      <c r="L76" s="40"/>
    </row>
    <row r="77" ht="30.5" hidden="1" customHeight="1" spans="1:12">
      <c r="A77" s="37" t="s">
        <v>98</v>
      </c>
      <c r="B77" s="38" t="s">
        <v>22</v>
      </c>
      <c r="C77" s="37">
        <v>676.0675</v>
      </c>
      <c r="D77" s="39"/>
      <c r="E77" s="39"/>
      <c r="F77" s="39"/>
      <c r="G77" s="37">
        <f t="shared" ref="G77:G82" si="30">C77+D77+E77+F77</f>
        <v>676.0675</v>
      </c>
      <c r="H77" s="38" t="s">
        <v>23</v>
      </c>
      <c r="I77" s="37">
        <v>15208.69</v>
      </c>
      <c r="J77" s="37">
        <f t="shared" ref="J77:J82" si="31">G77/I77*10000</f>
        <v>444.527109172453</v>
      </c>
      <c r="K77" s="50">
        <f t="shared" ref="K77:K82" si="32">G77/G$223</f>
        <v>0.0146025483452538</v>
      </c>
      <c r="L77" s="39"/>
    </row>
    <row r="78" ht="30.5" hidden="1" customHeight="1" spans="1:12">
      <c r="A78" s="37" t="s">
        <v>99</v>
      </c>
      <c r="B78" s="38" t="s">
        <v>25</v>
      </c>
      <c r="C78" s="37">
        <v>150.2129</v>
      </c>
      <c r="D78" s="39"/>
      <c r="E78" s="39"/>
      <c r="F78" s="39"/>
      <c r="G78" s="37">
        <f t="shared" si="30"/>
        <v>150.2129</v>
      </c>
      <c r="H78" s="38" t="s">
        <v>26</v>
      </c>
      <c r="I78" s="37">
        <v>403</v>
      </c>
      <c r="J78" s="37">
        <f t="shared" si="31"/>
        <v>3727.36724565757</v>
      </c>
      <c r="K78" s="50">
        <f t="shared" si="32"/>
        <v>0.00324448540172508</v>
      </c>
      <c r="L78" s="39"/>
    </row>
    <row r="79" ht="30.5" hidden="1" customHeight="1" spans="1:12">
      <c r="A79" s="37" t="s">
        <v>100</v>
      </c>
      <c r="B79" s="38" t="s">
        <v>28</v>
      </c>
      <c r="C79" s="37">
        <v>312.1881</v>
      </c>
      <c r="D79" s="39"/>
      <c r="E79" s="39"/>
      <c r="F79" s="39"/>
      <c r="G79" s="37">
        <f t="shared" si="30"/>
        <v>312.1881</v>
      </c>
      <c r="H79" s="38" t="s">
        <v>29</v>
      </c>
      <c r="I79" s="54">
        <f>1625.071+5328+2280</f>
        <v>9233.071</v>
      </c>
      <c r="J79" s="37">
        <f t="shared" si="31"/>
        <v>338.119462094465</v>
      </c>
      <c r="K79" s="50">
        <f t="shared" si="32"/>
        <v>0.00674302761641836</v>
      </c>
      <c r="L79" s="39"/>
    </row>
    <row r="80" ht="30.5" hidden="1" customHeight="1" spans="1:12">
      <c r="A80" s="37" t="s">
        <v>101</v>
      </c>
      <c r="B80" s="38" t="s">
        <v>31</v>
      </c>
      <c r="C80" s="37">
        <v>26.1204</v>
      </c>
      <c r="D80" s="39"/>
      <c r="E80" s="39"/>
      <c r="F80" s="39"/>
      <c r="G80" s="37">
        <f t="shared" si="30"/>
        <v>26.1204</v>
      </c>
      <c r="H80" s="38" t="s">
        <v>26</v>
      </c>
      <c r="I80" s="37">
        <v>24</v>
      </c>
      <c r="J80" s="37">
        <f t="shared" si="31"/>
        <v>10883.5</v>
      </c>
      <c r="K80" s="50">
        <f t="shared" si="32"/>
        <v>0.000564180949087727</v>
      </c>
      <c r="L80" s="39"/>
    </row>
    <row r="81" ht="30.5" hidden="1" customHeight="1" spans="1:12">
      <c r="A81" s="37" t="s">
        <v>102</v>
      </c>
      <c r="B81" s="38" t="s">
        <v>103</v>
      </c>
      <c r="C81" s="37">
        <v>17.7816</v>
      </c>
      <c r="D81" s="39"/>
      <c r="E81" s="39"/>
      <c r="F81" s="39"/>
      <c r="G81" s="37">
        <f t="shared" si="30"/>
        <v>17.7816</v>
      </c>
      <c r="H81" s="38" t="s">
        <v>23</v>
      </c>
      <c r="I81" s="37">
        <v>34.5</v>
      </c>
      <c r="J81" s="37">
        <f t="shared" si="31"/>
        <v>5154.08695652174</v>
      </c>
      <c r="K81" s="50">
        <f t="shared" si="32"/>
        <v>0.000384069155307664</v>
      </c>
      <c r="L81" s="39"/>
    </row>
    <row r="82" ht="30.5" hidden="1" customHeight="1" spans="1:12">
      <c r="A82" s="37" t="s">
        <v>104</v>
      </c>
      <c r="B82" s="38" t="s">
        <v>105</v>
      </c>
      <c r="C82" s="37">
        <f>37.6872-D82-E82</f>
        <v>6.597758</v>
      </c>
      <c r="D82" s="39">
        <f>31.089442-E82</f>
        <v>7.089442</v>
      </c>
      <c r="E82" s="39">
        <v>24</v>
      </c>
      <c r="F82" s="39"/>
      <c r="G82" s="37">
        <f t="shared" si="30"/>
        <v>37.6872</v>
      </c>
      <c r="H82" s="38" t="s">
        <v>26</v>
      </c>
      <c r="I82" s="37">
        <v>1</v>
      </c>
      <c r="J82" s="37">
        <f t="shared" si="31"/>
        <v>376872</v>
      </c>
      <c r="K82" s="50">
        <f t="shared" si="32"/>
        <v>0.000814015109433966</v>
      </c>
      <c r="L82" s="39"/>
    </row>
    <row r="83" s="16" customFormat="1" ht="30.5" customHeight="1" spans="1:12">
      <c r="A83" s="36">
        <v>4.2</v>
      </c>
      <c r="B83" s="31" t="s">
        <v>106</v>
      </c>
      <c r="C83" s="32">
        <f t="shared" ref="C83:F83" si="33">C84+C85+C86+C87+C88</f>
        <v>772.1083</v>
      </c>
      <c r="D83" s="32">
        <f t="shared" si="33"/>
        <v>0</v>
      </c>
      <c r="E83" s="32">
        <f t="shared" si="33"/>
        <v>0</v>
      </c>
      <c r="F83" s="32">
        <f t="shared" si="33"/>
        <v>0</v>
      </c>
      <c r="G83" s="32">
        <f t="shared" ref="G83:G111" si="34">C83+D83+E83+F83</f>
        <v>772.1083</v>
      </c>
      <c r="H83" s="31"/>
      <c r="I83" s="32"/>
      <c r="J83" s="32"/>
      <c r="K83" s="53"/>
      <c r="L83" s="40"/>
    </row>
    <row r="84" ht="30.5" hidden="1" customHeight="1" spans="1:12">
      <c r="A84" s="37" t="s">
        <v>107</v>
      </c>
      <c r="B84" s="38" t="s">
        <v>22</v>
      </c>
      <c r="C84" s="37">
        <v>395.8849</v>
      </c>
      <c r="D84" s="39"/>
      <c r="E84" s="39"/>
      <c r="F84" s="39"/>
      <c r="G84" s="37">
        <f t="shared" si="34"/>
        <v>395.8849</v>
      </c>
      <c r="H84" s="38" t="s">
        <v>23</v>
      </c>
      <c r="I84" s="37">
        <v>10480.91</v>
      </c>
      <c r="J84" s="37">
        <f t="shared" ref="J84:J88" si="35">G84/I84*10000</f>
        <v>377.71996897216</v>
      </c>
      <c r="K84" s="50">
        <f t="shared" ref="K84:K88" si="36">G84/G$223</f>
        <v>0.00855081540142952</v>
      </c>
      <c r="L84" s="39"/>
    </row>
    <row r="85" ht="30.5" hidden="1" customHeight="1" spans="1:12">
      <c r="A85" s="37" t="s">
        <v>108</v>
      </c>
      <c r="B85" s="38" t="s">
        <v>25</v>
      </c>
      <c r="C85" s="37">
        <v>118.0366</v>
      </c>
      <c r="D85" s="39"/>
      <c r="E85" s="39"/>
      <c r="F85" s="39"/>
      <c r="G85" s="37">
        <f t="shared" si="34"/>
        <v>118.0366</v>
      </c>
      <c r="H85" s="38" t="s">
        <v>26</v>
      </c>
      <c r="I85" s="37">
        <v>319</v>
      </c>
      <c r="J85" s="37">
        <f t="shared" si="35"/>
        <v>3700.20689655172</v>
      </c>
      <c r="K85" s="50">
        <f t="shared" si="36"/>
        <v>0.00254950157788887</v>
      </c>
      <c r="L85" s="39"/>
    </row>
    <row r="86" ht="30.5" hidden="1" customHeight="1" spans="1:12">
      <c r="A86" s="37" t="s">
        <v>109</v>
      </c>
      <c r="B86" s="38" t="s">
        <v>28</v>
      </c>
      <c r="C86" s="37">
        <v>196.8459</v>
      </c>
      <c r="D86" s="39"/>
      <c r="E86" s="39"/>
      <c r="F86" s="39"/>
      <c r="G86" s="37">
        <f t="shared" si="34"/>
        <v>196.8459</v>
      </c>
      <c r="H86" s="38" t="s">
        <v>29</v>
      </c>
      <c r="I86" s="54">
        <f>2070.022+2241.723+1575</f>
        <v>5886.745</v>
      </c>
      <c r="J86" s="37">
        <f t="shared" si="35"/>
        <v>334.388358931804</v>
      </c>
      <c r="K86" s="50">
        <f t="shared" si="36"/>
        <v>0.00425172304735102</v>
      </c>
      <c r="L86" s="39"/>
    </row>
    <row r="87" ht="30.5" hidden="1" customHeight="1" spans="1:12">
      <c r="A87" s="37" t="s">
        <v>110</v>
      </c>
      <c r="B87" s="38" t="s">
        <v>31</v>
      </c>
      <c r="C87" s="37">
        <v>9.0382</v>
      </c>
      <c r="D87" s="39"/>
      <c r="E87" s="39"/>
      <c r="F87" s="39"/>
      <c r="G87" s="37">
        <f t="shared" si="34"/>
        <v>9.0382</v>
      </c>
      <c r="H87" s="38" t="s">
        <v>26</v>
      </c>
      <c r="I87" s="37">
        <v>32</v>
      </c>
      <c r="J87" s="37">
        <f t="shared" si="35"/>
        <v>2824.4375</v>
      </c>
      <c r="K87" s="50">
        <f t="shared" si="36"/>
        <v>0.000195218306536067</v>
      </c>
      <c r="L87" s="39"/>
    </row>
    <row r="88" ht="30.5" hidden="1" customHeight="1" spans="1:12">
      <c r="A88" s="37" t="s">
        <v>111</v>
      </c>
      <c r="B88" s="38" t="s">
        <v>112</v>
      </c>
      <c r="C88" s="37">
        <v>52.3027</v>
      </c>
      <c r="D88" s="39"/>
      <c r="E88" s="39"/>
      <c r="F88" s="39"/>
      <c r="G88" s="37">
        <f t="shared" si="34"/>
        <v>52.3027</v>
      </c>
      <c r="H88" s="38" t="s">
        <v>23</v>
      </c>
      <c r="I88" s="37">
        <v>907.8</v>
      </c>
      <c r="J88" s="37">
        <f t="shared" si="35"/>
        <v>576.147829918484</v>
      </c>
      <c r="K88" s="50">
        <f t="shared" si="36"/>
        <v>0.00112969889151202</v>
      </c>
      <c r="L88" s="39"/>
    </row>
    <row r="89" s="16" customFormat="1" ht="30.5" customHeight="1" spans="1:12">
      <c r="A89" s="36">
        <v>4.3</v>
      </c>
      <c r="B89" s="31" t="s">
        <v>113</v>
      </c>
      <c r="C89" s="32">
        <f t="shared" ref="C89:F89" si="37">C90+C91+C92+C93+C94</f>
        <v>1145.9468</v>
      </c>
      <c r="D89" s="32">
        <f t="shared" si="37"/>
        <v>6.9814</v>
      </c>
      <c r="E89" s="32">
        <f t="shared" si="37"/>
        <v>22.8</v>
      </c>
      <c r="F89" s="32">
        <f t="shared" si="37"/>
        <v>0</v>
      </c>
      <c r="G89" s="32">
        <f t="shared" si="34"/>
        <v>1175.7282</v>
      </c>
      <c r="H89" s="31"/>
      <c r="I89" s="32"/>
      <c r="J89" s="32"/>
      <c r="K89" s="53"/>
      <c r="L89" s="40"/>
    </row>
    <row r="90" ht="30.5" hidden="1" customHeight="1" spans="1:12">
      <c r="A90" s="37" t="s">
        <v>114</v>
      </c>
      <c r="B90" s="38" t="s">
        <v>22</v>
      </c>
      <c r="C90" s="37">
        <v>527.4979</v>
      </c>
      <c r="D90" s="39"/>
      <c r="E90" s="39"/>
      <c r="F90" s="39"/>
      <c r="G90" s="37">
        <f t="shared" si="34"/>
        <v>527.4979</v>
      </c>
      <c r="H90" s="38" t="s">
        <v>23</v>
      </c>
      <c r="I90" s="37">
        <v>22803.69</v>
      </c>
      <c r="J90" s="37">
        <f t="shared" ref="J90:J94" si="38">G90/I90*10000</f>
        <v>231.321290545521</v>
      </c>
      <c r="K90" s="50">
        <f t="shared" ref="K90:K94" si="39">G90/G$223</f>
        <v>0.0113935569847239</v>
      </c>
      <c r="L90" s="39"/>
    </row>
    <row r="91" ht="30.5" hidden="1" customHeight="1" spans="1:12">
      <c r="A91" s="37" t="s">
        <v>115</v>
      </c>
      <c r="B91" s="38" t="s">
        <v>25</v>
      </c>
      <c r="C91" s="37">
        <v>263.9017</v>
      </c>
      <c r="D91" s="39"/>
      <c r="E91" s="39"/>
      <c r="F91" s="39"/>
      <c r="G91" s="37">
        <f t="shared" si="34"/>
        <v>263.9017</v>
      </c>
      <c r="H91" s="38" t="s">
        <v>26</v>
      </c>
      <c r="I91" s="37">
        <v>699</v>
      </c>
      <c r="J91" s="37">
        <f t="shared" si="38"/>
        <v>3775.41773962804</v>
      </c>
      <c r="K91" s="50">
        <f t="shared" si="39"/>
        <v>0.00570007777721109</v>
      </c>
      <c r="L91" s="39"/>
    </row>
    <row r="92" ht="30.5" hidden="1" customHeight="1" spans="1:12">
      <c r="A92" s="37" t="s">
        <v>116</v>
      </c>
      <c r="B92" s="38" t="s">
        <v>28</v>
      </c>
      <c r="C92" s="37">
        <v>326.4658</v>
      </c>
      <c r="D92" s="39"/>
      <c r="E92" s="39"/>
      <c r="F92" s="39"/>
      <c r="G92" s="37">
        <f t="shared" si="34"/>
        <v>326.4658</v>
      </c>
      <c r="H92" s="38" t="s">
        <v>29</v>
      </c>
      <c r="I92" s="54">
        <f>3033.464+3236.847+3760</f>
        <v>10030.311</v>
      </c>
      <c r="J92" s="37">
        <f t="shared" si="38"/>
        <v>325.479239876012</v>
      </c>
      <c r="K92" s="50">
        <f t="shared" si="39"/>
        <v>0.00705141517314757</v>
      </c>
      <c r="L92" s="39"/>
    </row>
    <row r="93" ht="30.5" hidden="1" customHeight="1" spans="1:12">
      <c r="A93" s="37" t="s">
        <v>117</v>
      </c>
      <c r="B93" s="38" t="s">
        <v>31</v>
      </c>
      <c r="C93" s="37">
        <v>21.4873</v>
      </c>
      <c r="D93" s="39"/>
      <c r="E93" s="39"/>
      <c r="F93" s="39"/>
      <c r="G93" s="37">
        <f t="shared" si="34"/>
        <v>21.4873</v>
      </c>
      <c r="H93" s="38" t="s">
        <v>26</v>
      </c>
      <c r="I93" s="37">
        <v>76</v>
      </c>
      <c r="J93" s="37">
        <f t="shared" si="38"/>
        <v>2827.27631578947</v>
      </c>
      <c r="K93" s="50">
        <f t="shared" si="39"/>
        <v>0.000464109481758806</v>
      </c>
      <c r="L93" s="39"/>
    </row>
    <row r="94" ht="30.5" hidden="1" customHeight="1" spans="1:12">
      <c r="A94" s="37" t="s">
        <v>118</v>
      </c>
      <c r="B94" s="38" t="s">
        <v>78</v>
      </c>
      <c r="C94" s="37">
        <f>36.3755-D94-E94</f>
        <v>6.5941</v>
      </c>
      <c r="D94" s="39">
        <f>29.7814-E94</f>
        <v>6.9814</v>
      </c>
      <c r="E94" s="39">
        <v>22.8</v>
      </c>
      <c r="F94" s="39"/>
      <c r="G94" s="37">
        <f t="shared" si="34"/>
        <v>36.3755</v>
      </c>
      <c r="H94" s="38" t="s">
        <v>26</v>
      </c>
      <c r="I94" s="37">
        <v>1</v>
      </c>
      <c r="J94" s="37">
        <f t="shared" si="38"/>
        <v>363755</v>
      </c>
      <c r="K94" s="50">
        <f t="shared" si="39"/>
        <v>0.000785683378261458</v>
      </c>
      <c r="L94" s="39"/>
    </row>
    <row r="95" s="16" customFormat="1" ht="30.5" customHeight="1" spans="1:12">
      <c r="A95" s="35">
        <v>5</v>
      </c>
      <c r="B95" s="31" t="s">
        <v>119</v>
      </c>
      <c r="C95" s="32">
        <f t="shared" ref="C95:F95" si="40">C96+C102+C107</f>
        <v>2751.958258</v>
      </c>
      <c r="D95" s="32">
        <f t="shared" si="40"/>
        <v>6.549442</v>
      </c>
      <c r="E95" s="32">
        <f t="shared" si="40"/>
        <v>18</v>
      </c>
      <c r="F95" s="32">
        <f t="shared" si="40"/>
        <v>0</v>
      </c>
      <c r="G95" s="32">
        <f t="shared" si="34"/>
        <v>2776.5077</v>
      </c>
      <c r="H95" s="31"/>
      <c r="I95" s="32"/>
      <c r="J95" s="32"/>
      <c r="K95" s="53"/>
      <c r="L95" s="40"/>
    </row>
    <row r="96" s="16" customFormat="1" ht="30.5" customHeight="1" spans="1:12">
      <c r="A96" s="36">
        <v>5.1</v>
      </c>
      <c r="B96" s="31" t="s">
        <v>120</v>
      </c>
      <c r="C96" s="32">
        <f t="shared" ref="C96:F96" si="41">C97+C98+C99+C101+C100</f>
        <v>290.748958</v>
      </c>
      <c r="D96" s="32">
        <f t="shared" si="41"/>
        <v>6.549442</v>
      </c>
      <c r="E96" s="32">
        <f t="shared" si="41"/>
        <v>18</v>
      </c>
      <c r="F96" s="32">
        <f t="shared" si="41"/>
        <v>0</v>
      </c>
      <c r="G96" s="32">
        <f t="shared" si="34"/>
        <v>315.2984</v>
      </c>
      <c r="H96" s="31"/>
      <c r="I96" s="32"/>
      <c r="J96" s="32"/>
      <c r="K96" s="53"/>
      <c r="L96" s="40"/>
    </row>
    <row r="97" ht="30.5" hidden="1" customHeight="1" spans="1:12">
      <c r="A97" s="37" t="s">
        <v>121</v>
      </c>
      <c r="B97" s="38" t="s">
        <v>22</v>
      </c>
      <c r="C97" s="37">
        <v>142.5219</v>
      </c>
      <c r="D97" s="39"/>
      <c r="E97" s="39"/>
      <c r="F97" s="39"/>
      <c r="G97" s="37">
        <f t="shared" si="34"/>
        <v>142.5219</v>
      </c>
      <c r="H97" s="38" t="s">
        <v>23</v>
      </c>
      <c r="I97" s="37">
        <v>6930</v>
      </c>
      <c r="J97" s="37">
        <f t="shared" ref="J97:J101" si="42">G97/I97*10000</f>
        <v>205.659307359307</v>
      </c>
      <c r="K97" s="50">
        <f t="shared" ref="K97:K101" si="43">G97/G$223</f>
        <v>0.00307836559959978</v>
      </c>
      <c r="L97" s="39"/>
    </row>
    <row r="98" ht="30.5" hidden="1" customHeight="1" spans="1:12">
      <c r="A98" s="37" t="s">
        <v>122</v>
      </c>
      <c r="B98" s="38" t="s">
        <v>25</v>
      </c>
      <c r="C98" s="37">
        <v>30.8693</v>
      </c>
      <c r="D98" s="39"/>
      <c r="E98" s="39"/>
      <c r="F98" s="39"/>
      <c r="G98" s="37">
        <f t="shared" si="34"/>
        <v>30.8693</v>
      </c>
      <c r="H98" s="38" t="s">
        <v>26</v>
      </c>
      <c r="I98" s="37">
        <v>170</v>
      </c>
      <c r="J98" s="37">
        <f t="shared" si="42"/>
        <v>1815.84117647059</v>
      </c>
      <c r="K98" s="50">
        <f t="shared" si="43"/>
        <v>0.000666753609120601</v>
      </c>
      <c r="L98" s="39"/>
    </row>
    <row r="99" ht="30.5" hidden="1" customHeight="1" spans="1:12">
      <c r="A99" s="37" t="s">
        <v>123</v>
      </c>
      <c r="B99" s="38" t="s">
        <v>28</v>
      </c>
      <c r="C99" s="37">
        <v>102.6091</v>
      </c>
      <c r="D99" s="39"/>
      <c r="E99" s="39"/>
      <c r="F99" s="39"/>
      <c r="G99" s="37">
        <f t="shared" si="34"/>
        <v>102.6091</v>
      </c>
      <c r="H99" s="38" t="s">
        <v>29</v>
      </c>
      <c r="I99" s="37">
        <v>3646.156</v>
      </c>
      <c r="J99" s="37">
        <f t="shared" si="42"/>
        <v>281.417196631192</v>
      </c>
      <c r="K99" s="50">
        <f t="shared" si="43"/>
        <v>0.00221627920793852</v>
      </c>
      <c r="L99" s="39"/>
    </row>
    <row r="100" ht="30.5" hidden="1" customHeight="1" spans="1:12">
      <c r="A100" s="37" t="s">
        <v>124</v>
      </c>
      <c r="B100" s="38" t="s">
        <v>31</v>
      </c>
      <c r="C100" s="37">
        <v>8.1991</v>
      </c>
      <c r="D100" s="39"/>
      <c r="E100" s="39"/>
      <c r="F100" s="39"/>
      <c r="G100" s="37">
        <f t="shared" si="34"/>
        <v>8.1991</v>
      </c>
      <c r="H100" s="38" t="s">
        <v>26</v>
      </c>
      <c r="I100" s="37">
        <v>29</v>
      </c>
      <c r="J100" s="37">
        <f t="shared" si="42"/>
        <v>2827.27586206897</v>
      </c>
      <c r="K100" s="50">
        <f t="shared" si="43"/>
        <v>0.000177094379093168</v>
      </c>
      <c r="L100" s="39"/>
    </row>
    <row r="101" ht="30.5" hidden="1" customHeight="1" spans="1:12">
      <c r="A101" s="37" t="s">
        <v>125</v>
      </c>
      <c r="B101" s="38" t="s">
        <v>126</v>
      </c>
      <c r="C101" s="37">
        <f>31.099-D101-E101</f>
        <v>6.549558</v>
      </c>
      <c r="D101" s="39">
        <f>24.549442-E101</f>
        <v>6.549442</v>
      </c>
      <c r="E101" s="39">
        <v>18</v>
      </c>
      <c r="F101" s="39"/>
      <c r="G101" s="37">
        <f t="shared" si="34"/>
        <v>31.099</v>
      </c>
      <c r="H101" s="38" t="s">
        <v>26</v>
      </c>
      <c r="I101" s="37">
        <v>1</v>
      </c>
      <c r="J101" s="37">
        <f t="shared" si="42"/>
        <v>310990</v>
      </c>
      <c r="K101" s="50">
        <f t="shared" si="43"/>
        <v>0.000671714955960828</v>
      </c>
      <c r="L101" s="39"/>
    </row>
    <row r="102" s="16" customFormat="1" ht="30.5" customHeight="1" spans="1:12">
      <c r="A102" s="36">
        <v>5.2</v>
      </c>
      <c r="B102" s="31" t="s">
        <v>127</v>
      </c>
      <c r="C102" s="32">
        <f t="shared" ref="C102:F102" si="44">C103+C104+C105+C106</f>
        <v>776.9873</v>
      </c>
      <c r="D102" s="32">
        <f t="shared" si="44"/>
        <v>0</v>
      </c>
      <c r="E102" s="32">
        <f t="shared" si="44"/>
        <v>0</v>
      </c>
      <c r="F102" s="32">
        <f t="shared" si="44"/>
        <v>0</v>
      </c>
      <c r="G102" s="32">
        <f t="shared" si="34"/>
        <v>776.9873</v>
      </c>
      <c r="H102" s="31"/>
      <c r="I102" s="32"/>
      <c r="J102" s="32"/>
      <c r="K102" s="53"/>
      <c r="L102" s="40"/>
    </row>
    <row r="103" ht="30.5" hidden="1" customHeight="1" spans="1:12">
      <c r="A103" s="37" t="s">
        <v>128</v>
      </c>
      <c r="B103" s="38" t="s">
        <v>22</v>
      </c>
      <c r="C103" s="37">
        <v>341.8106</v>
      </c>
      <c r="D103" s="39"/>
      <c r="E103" s="39"/>
      <c r="F103" s="39"/>
      <c r="G103" s="37">
        <f t="shared" si="34"/>
        <v>341.8106</v>
      </c>
      <c r="H103" s="38" t="s">
        <v>23</v>
      </c>
      <c r="I103" s="37">
        <v>13192</v>
      </c>
      <c r="J103" s="37">
        <f t="shared" ref="J103:J106" si="45">G103/I103*10000</f>
        <v>259.104457246816</v>
      </c>
      <c r="K103" s="50">
        <f t="shared" ref="K103:K106" si="46">G103/G$223</f>
        <v>0.00738285128544147</v>
      </c>
      <c r="L103" s="39"/>
    </row>
    <row r="104" ht="30.5" hidden="1" customHeight="1" spans="1:12">
      <c r="A104" s="37" t="s">
        <v>129</v>
      </c>
      <c r="B104" s="38" t="s">
        <v>25</v>
      </c>
      <c r="C104" s="37">
        <v>129.8199</v>
      </c>
      <c r="D104" s="39"/>
      <c r="E104" s="39"/>
      <c r="F104" s="39"/>
      <c r="G104" s="37">
        <f t="shared" si="34"/>
        <v>129.8199</v>
      </c>
      <c r="H104" s="38" t="s">
        <v>26</v>
      </c>
      <c r="I104" s="37">
        <v>529</v>
      </c>
      <c r="J104" s="37">
        <f t="shared" si="45"/>
        <v>2454.06238185255</v>
      </c>
      <c r="K104" s="50">
        <f t="shared" si="46"/>
        <v>0.00280401197502618</v>
      </c>
      <c r="L104" s="39"/>
    </row>
    <row r="105" ht="30.5" hidden="1" customHeight="1" spans="1:12">
      <c r="A105" s="37" t="s">
        <v>130</v>
      </c>
      <c r="B105" s="38" t="s">
        <v>28</v>
      </c>
      <c r="C105" s="37">
        <v>293.1996</v>
      </c>
      <c r="D105" s="39"/>
      <c r="E105" s="39"/>
      <c r="F105" s="39"/>
      <c r="G105" s="37">
        <f t="shared" si="34"/>
        <v>293.1996</v>
      </c>
      <c r="H105" s="38" t="s">
        <v>29</v>
      </c>
      <c r="I105" s="37">
        <v>8261.383</v>
      </c>
      <c r="J105" s="37">
        <f t="shared" si="45"/>
        <v>354.903773375475</v>
      </c>
      <c r="K105" s="50">
        <f t="shared" si="46"/>
        <v>0.00633289033093451</v>
      </c>
      <c r="L105" s="39"/>
    </row>
    <row r="106" ht="30.5" hidden="1" customHeight="1" spans="1:12">
      <c r="A106" s="37" t="s">
        <v>131</v>
      </c>
      <c r="B106" s="38" t="s">
        <v>31</v>
      </c>
      <c r="C106" s="37">
        <v>12.1572</v>
      </c>
      <c r="D106" s="39"/>
      <c r="E106" s="39"/>
      <c r="F106" s="39"/>
      <c r="G106" s="37">
        <f t="shared" si="34"/>
        <v>12.1572</v>
      </c>
      <c r="H106" s="38" t="s">
        <v>26</v>
      </c>
      <c r="I106" s="37">
        <v>43</v>
      </c>
      <c r="J106" s="37">
        <f t="shared" si="45"/>
        <v>2827.25581395349</v>
      </c>
      <c r="K106" s="50">
        <f t="shared" si="46"/>
        <v>0.000262586355272098</v>
      </c>
      <c r="L106" s="39"/>
    </row>
    <row r="107" s="16" customFormat="1" ht="30.5" customHeight="1" spans="1:12">
      <c r="A107" s="36">
        <v>5.3</v>
      </c>
      <c r="B107" s="31" t="s">
        <v>132</v>
      </c>
      <c r="C107" s="32">
        <f t="shared" ref="C107:F107" si="47">C108+C109+C110+C111</f>
        <v>1684.222</v>
      </c>
      <c r="D107" s="32">
        <f t="shared" si="47"/>
        <v>0</v>
      </c>
      <c r="E107" s="32">
        <f t="shared" si="47"/>
        <v>0</v>
      </c>
      <c r="F107" s="32">
        <f t="shared" si="47"/>
        <v>0</v>
      </c>
      <c r="G107" s="32">
        <f t="shared" si="34"/>
        <v>1684.222</v>
      </c>
      <c r="H107" s="31"/>
      <c r="I107" s="32"/>
      <c r="J107" s="32"/>
      <c r="K107" s="53"/>
      <c r="L107" s="40"/>
    </row>
    <row r="108" ht="30.5" hidden="1" customHeight="1" spans="1:12">
      <c r="A108" s="37" t="s">
        <v>133</v>
      </c>
      <c r="B108" s="38" t="s">
        <v>22</v>
      </c>
      <c r="C108" s="37">
        <v>837.1538</v>
      </c>
      <c r="D108" s="39"/>
      <c r="E108" s="39"/>
      <c r="F108" s="39"/>
      <c r="G108" s="37">
        <f t="shared" si="34"/>
        <v>837.1538</v>
      </c>
      <c r="H108" s="38" t="s">
        <v>23</v>
      </c>
      <c r="I108" s="37">
        <v>25330.43</v>
      </c>
      <c r="J108" s="37">
        <f t="shared" ref="J108:J111" si="48">G108/I108*10000</f>
        <v>330.493323642749</v>
      </c>
      <c r="K108" s="50">
        <f t="shared" ref="K108:K111" si="49">G108/G$223</f>
        <v>0.018081890990046</v>
      </c>
      <c r="L108" s="39"/>
    </row>
    <row r="109" ht="30.5" hidden="1" customHeight="1" spans="1:12">
      <c r="A109" s="37" t="s">
        <v>134</v>
      </c>
      <c r="B109" s="38" t="s">
        <v>25</v>
      </c>
      <c r="C109" s="37">
        <v>254.6397</v>
      </c>
      <c r="D109" s="39"/>
      <c r="E109" s="39"/>
      <c r="F109" s="39"/>
      <c r="G109" s="37">
        <f t="shared" si="34"/>
        <v>254.6397</v>
      </c>
      <c r="H109" s="38" t="s">
        <v>26</v>
      </c>
      <c r="I109" s="37">
        <v>791</v>
      </c>
      <c r="J109" s="37">
        <f t="shared" si="48"/>
        <v>3219.21238938053</v>
      </c>
      <c r="K109" s="50">
        <f t="shared" si="49"/>
        <v>0.00550002555938707</v>
      </c>
      <c r="L109" s="39"/>
    </row>
    <row r="110" ht="30.5" hidden="1" customHeight="1" spans="1:12">
      <c r="A110" s="37" t="s">
        <v>135</v>
      </c>
      <c r="B110" s="38" t="s">
        <v>28</v>
      </c>
      <c r="C110" s="37">
        <v>570.9412</v>
      </c>
      <c r="D110" s="39"/>
      <c r="E110" s="39"/>
      <c r="F110" s="39"/>
      <c r="G110" s="37">
        <f t="shared" si="34"/>
        <v>570.9412</v>
      </c>
      <c r="H110" s="38" t="s">
        <v>29</v>
      </c>
      <c r="I110" s="54">
        <f>6423.626+6191.471+4180</f>
        <v>16795.097</v>
      </c>
      <c r="J110" s="37">
        <f t="shared" si="48"/>
        <v>339.945163758209</v>
      </c>
      <c r="K110" s="50">
        <f t="shared" si="49"/>
        <v>0.0123318995149112</v>
      </c>
      <c r="L110" s="39"/>
    </row>
    <row r="111" ht="30.5" hidden="1" customHeight="1" spans="1:12">
      <c r="A111" s="37" t="s">
        <v>136</v>
      </c>
      <c r="B111" s="38" t="s">
        <v>31</v>
      </c>
      <c r="C111" s="37">
        <v>21.4873</v>
      </c>
      <c r="D111" s="39"/>
      <c r="E111" s="39"/>
      <c r="F111" s="39"/>
      <c r="G111" s="37">
        <f t="shared" si="34"/>
        <v>21.4873</v>
      </c>
      <c r="H111" s="38" t="s">
        <v>26</v>
      </c>
      <c r="I111" s="37">
        <v>76</v>
      </c>
      <c r="J111" s="37">
        <f t="shared" si="48"/>
        <v>2827.27631578947</v>
      </c>
      <c r="K111" s="50">
        <f t="shared" si="49"/>
        <v>0.000464109481758806</v>
      </c>
      <c r="L111" s="39"/>
    </row>
    <row r="112" ht="30.5" customHeight="1" spans="1:12">
      <c r="A112" s="55" t="s">
        <v>137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9"/>
      <c r="L112" s="60"/>
    </row>
    <row r="113" s="16" customFormat="1" ht="30.5" customHeight="1" spans="1:12">
      <c r="A113" s="57">
        <v>1</v>
      </c>
      <c r="B113" s="31" t="s">
        <v>96</v>
      </c>
      <c r="C113" s="32">
        <f>SUM(C114:C117)</f>
        <v>1374.3531</v>
      </c>
      <c r="D113" s="32">
        <f t="shared" ref="C113:F113" si="50">SUM(D114:D117)</f>
        <v>0</v>
      </c>
      <c r="E113" s="32">
        <f t="shared" si="50"/>
        <v>0</v>
      </c>
      <c r="F113" s="32">
        <f t="shared" si="50"/>
        <v>0</v>
      </c>
      <c r="G113" s="32">
        <f>C113+D113+E113+F113</f>
        <v>1374.3531</v>
      </c>
      <c r="H113" s="31"/>
      <c r="I113" s="32"/>
      <c r="J113" s="32"/>
      <c r="K113" s="53"/>
      <c r="L113" s="40"/>
    </row>
    <row r="114" ht="30.5" hidden="1" customHeight="1" spans="1:12">
      <c r="A114" s="58">
        <v>1.1</v>
      </c>
      <c r="B114" s="38" t="s">
        <v>22</v>
      </c>
      <c r="C114" s="37">
        <f>6182465/10000</f>
        <v>618.2465</v>
      </c>
      <c r="D114" s="39"/>
      <c r="E114" s="39"/>
      <c r="F114" s="39"/>
      <c r="G114" s="37">
        <f t="shared" ref="G114:G145" si="51">C114+D114+E114+F114</f>
        <v>618.2465</v>
      </c>
      <c r="H114" s="38" t="s">
        <v>23</v>
      </c>
      <c r="I114" s="37">
        <v>21400.8</v>
      </c>
      <c r="J114" s="37">
        <f t="shared" ref="J114:J117" si="52">G114/I114*10000</f>
        <v>288.889434039849</v>
      </c>
      <c r="K114" s="50">
        <f t="shared" ref="K114:K117" si="53">G114/G$223</f>
        <v>0.0133536583337225</v>
      </c>
      <c r="L114" s="39"/>
    </row>
    <row r="115" ht="30.5" hidden="1" customHeight="1" spans="1:12">
      <c r="A115" s="58">
        <v>1.2</v>
      </c>
      <c r="B115" s="38" t="s">
        <v>25</v>
      </c>
      <c r="C115" s="37">
        <v>326.4878</v>
      </c>
      <c r="D115" s="39"/>
      <c r="E115" s="39"/>
      <c r="F115" s="39"/>
      <c r="G115" s="37">
        <f t="shared" si="51"/>
        <v>326.4878</v>
      </c>
      <c r="H115" s="38" t="s">
        <v>26</v>
      </c>
      <c r="I115" s="37">
        <v>747</v>
      </c>
      <c r="J115" s="37">
        <f t="shared" si="52"/>
        <v>4370.65327978581</v>
      </c>
      <c r="K115" s="50">
        <f t="shared" si="53"/>
        <v>0.00705189035656283</v>
      </c>
      <c r="L115" s="39"/>
    </row>
    <row r="116" ht="30.5" hidden="1" customHeight="1" spans="1:12">
      <c r="A116" s="58">
        <v>1.3</v>
      </c>
      <c r="B116" s="38" t="s">
        <v>28</v>
      </c>
      <c r="C116" s="37">
        <v>407.5283</v>
      </c>
      <c r="D116" s="39"/>
      <c r="E116" s="39"/>
      <c r="F116" s="39"/>
      <c r="G116" s="37">
        <f t="shared" si="51"/>
        <v>407.5283</v>
      </c>
      <c r="H116" s="38" t="s">
        <v>29</v>
      </c>
      <c r="I116" s="54">
        <f>2420.702+6425.934+3900</f>
        <v>12746.636</v>
      </c>
      <c r="J116" s="37">
        <f t="shared" si="52"/>
        <v>319.714393664336</v>
      </c>
      <c r="K116" s="50">
        <f t="shared" si="53"/>
        <v>0.00880230406403071</v>
      </c>
      <c r="L116" s="39"/>
    </row>
    <row r="117" ht="30.5" hidden="1" customHeight="1" spans="1:12">
      <c r="A117" s="58">
        <v>1.4</v>
      </c>
      <c r="B117" s="38" t="s">
        <v>31</v>
      </c>
      <c r="C117" s="37">
        <v>22.0905</v>
      </c>
      <c r="D117" s="39"/>
      <c r="E117" s="39"/>
      <c r="F117" s="39"/>
      <c r="G117" s="37">
        <f t="shared" si="51"/>
        <v>22.0905</v>
      </c>
      <c r="H117" s="38" t="s">
        <v>26</v>
      </c>
      <c r="I117" s="37">
        <v>24</v>
      </c>
      <c r="J117" s="37">
        <f t="shared" si="52"/>
        <v>9204.375</v>
      </c>
      <c r="K117" s="50">
        <f t="shared" si="53"/>
        <v>0.00047713814703536</v>
      </c>
      <c r="L117" s="39"/>
    </row>
    <row r="118" s="16" customFormat="1" ht="30.5" customHeight="1" spans="1:12">
      <c r="A118" s="57">
        <v>2</v>
      </c>
      <c r="B118" s="31" t="s">
        <v>138</v>
      </c>
      <c r="C118" s="32">
        <f>SUM(C119:C124)</f>
        <v>5893.332016</v>
      </c>
      <c r="D118" s="32">
        <f t="shared" ref="C118:F118" si="54">SUM(D119:D124)</f>
        <v>13.278884</v>
      </c>
      <c r="E118" s="32">
        <f t="shared" si="54"/>
        <v>38</v>
      </c>
      <c r="F118" s="32">
        <f t="shared" si="54"/>
        <v>0</v>
      </c>
      <c r="G118" s="32">
        <f t="shared" si="51"/>
        <v>5944.6109</v>
      </c>
      <c r="H118" s="31"/>
      <c r="I118" s="32"/>
      <c r="J118" s="32"/>
      <c r="K118" s="53"/>
      <c r="L118" s="40"/>
    </row>
    <row r="119" ht="30.5" hidden="1" customHeight="1" spans="1:12">
      <c r="A119" s="58">
        <v>2.1</v>
      </c>
      <c r="B119" s="38" t="s">
        <v>22</v>
      </c>
      <c r="C119" s="37">
        <f>29523986/10000</f>
        <v>2952.3986</v>
      </c>
      <c r="D119" s="37"/>
      <c r="E119" s="37"/>
      <c r="F119" s="37"/>
      <c r="G119" s="37">
        <f t="shared" si="51"/>
        <v>2952.3986</v>
      </c>
      <c r="H119" s="38" t="s">
        <v>23</v>
      </c>
      <c r="I119" s="37">
        <v>100592.8</v>
      </c>
      <c r="J119" s="37">
        <f t="shared" ref="J119:J124" si="55">G119/I119*10000</f>
        <v>293.499992047145</v>
      </c>
      <c r="K119" s="50">
        <f t="shared" ref="K119:K124" si="56">G119/G$223</f>
        <v>0.063769584088807</v>
      </c>
      <c r="L119" s="39"/>
    </row>
    <row r="120" ht="30.5" hidden="1" customHeight="1" spans="1:12">
      <c r="A120" s="58">
        <v>2.2</v>
      </c>
      <c r="B120" s="38" t="s">
        <v>25</v>
      </c>
      <c r="C120" s="37">
        <v>877.5432</v>
      </c>
      <c r="D120" s="37"/>
      <c r="E120" s="37"/>
      <c r="F120" s="37"/>
      <c r="G120" s="37">
        <f t="shared" si="51"/>
        <v>877.5432</v>
      </c>
      <c r="H120" s="38" t="s">
        <v>26</v>
      </c>
      <c r="I120" s="37">
        <v>2967</v>
      </c>
      <c r="J120" s="37">
        <f t="shared" si="55"/>
        <v>2957.67846309403</v>
      </c>
      <c r="K120" s="50">
        <f t="shared" si="56"/>
        <v>0.0189542715824214</v>
      </c>
      <c r="L120" s="39"/>
    </row>
    <row r="121" s="17" customFormat="1" ht="30.5" hidden="1" customHeight="1" spans="1:12">
      <c r="A121" s="58">
        <v>2.3</v>
      </c>
      <c r="B121" s="38" t="s">
        <v>28</v>
      </c>
      <c r="C121" s="37">
        <v>1894.3917</v>
      </c>
      <c r="D121" s="37"/>
      <c r="E121" s="37"/>
      <c r="F121" s="37"/>
      <c r="G121" s="37">
        <f t="shared" si="51"/>
        <v>1894.3917</v>
      </c>
      <c r="H121" s="38" t="s">
        <v>29</v>
      </c>
      <c r="I121" s="54">
        <f>48730.674+8096.875+17275</f>
        <v>74102.549</v>
      </c>
      <c r="J121" s="37">
        <f t="shared" si="55"/>
        <v>255.644606773243</v>
      </c>
      <c r="K121" s="50">
        <f t="shared" si="56"/>
        <v>0.0409174326292825</v>
      </c>
      <c r="L121" s="39"/>
    </row>
    <row r="122" ht="30.5" hidden="1" customHeight="1" spans="1:12">
      <c r="A122" s="58">
        <v>2.4</v>
      </c>
      <c r="B122" s="38" t="s">
        <v>31</v>
      </c>
      <c r="C122" s="37">
        <v>155.8346</v>
      </c>
      <c r="D122" s="37"/>
      <c r="E122" s="37"/>
      <c r="F122" s="37"/>
      <c r="G122" s="37">
        <f t="shared" si="51"/>
        <v>155.8346</v>
      </c>
      <c r="H122" s="38" t="s">
        <v>26</v>
      </c>
      <c r="I122" s="37">
        <v>79</v>
      </c>
      <c r="J122" s="37">
        <f t="shared" si="55"/>
        <v>19725.8987341772</v>
      </c>
      <c r="K122" s="50">
        <f t="shared" si="56"/>
        <v>0.00336590988379605</v>
      </c>
      <c r="L122" s="39"/>
    </row>
    <row r="123" ht="30.5" hidden="1" customHeight="1" spans="1:12">
      <c r="A123" s="58">
        <v>2.5</v>
      </c>
      <c r="B123" s="38" t="s">
        <v>139</v>
      </c>
      <c r="C123" s="37">
        <f>333145/10000-D123-E123</f>
        <v>6.585058</v>
      </c>
      <c r="D123" s="37">
        <f>26.729442-E123</f>
        <v>6.729442</v>
      </c>
      <c r="E123" s="37">
        <v>20</v>
      </c>
      <c r="F123" s="37"/>
      <c r="G123" s="37">
        <f t="shared" si="51"/>
        <v>33.3145</v>
      </c>
      <c r="H123" s="38" t="s">
        <v>26</v>
      </c>
      <c r="I123" s="37">
        <v>1</v>
      </c>
      <c r="J123" s="37">
        <f t="shared" si="55"/>
        <v>333145</v>
      </c>
      <c r="K123" s="50">
        <f t="shared" si="56"/>
        <v>0.000719568085802019</v>
      </c>
      <c r="L123" s="39"/>
    </row>
    <row r="124" ht="30.5" hidden="1" customHeight="1" spans="1:12">
      <c r="A124" s="58">
        <v>2.6</v>
      </c>
      <c r="B124" s="38" t="s">
        <v>140</v>
      </c>
      <c r="C124" s="37">
        <f>311283/10000-D124-E124</f>
        <v>6.578858</v>
      </c>
      <c r="D124" s="37">
        <f>24.549442-E124</f>
        <v>6.549442</v>
      </c>
      <c r="E124" s="37">
        <v>18</v>
      </c>
      <c r="F124" s="37"/>
      <c r="G124" s="37">
        <f t="shared" si="51"/>
        <v>31.1283</v>
      </c>
      <c r="H124" s="38" t="s">
        <v>26</v>
      </c>
      <c r="I124" s="37">
        <v>1</v>
      </c>
      <c r="J124" s="37">
        <f t="shared" si="55"/>
        <v>311283</v>
      </c>
      <c r="K124" s="50">
        <f t="shared" si="56"/>
        <v>0.000672347813872968</v>
      </c>
      <c r="L124" s="39"/>
    </row>
    <row r="125" s="16" customFormat="1" ht="30.5" customHeight="1" spans="1:12">
      <c r="A125" s="57">
        <v>3</v>
      </c>
      <c r="B125" s="31" t="s">
        <v>61</v>
      </c>
      <c r="C125" s="32">
        <f>SUM(C126:C131)</f>
        <v>617.189048</v>
      </c>
      <c r="D125" s="32">
        <f t="shared" ref="C125:F125" si="57">SUM(D126:D131)</f>
        <v>56.040852</v>
      </c>
      <c r="E125" s="32">
        <f t="shared" si="57"/>
        <v>66</v>
      </c>
      <c r="F125" s="32">
        <f t="shared" si="57"/>
        <v>0</v>
      </c>
      <c r="G125" s="32">
        <f t="shared" si="51"/>
        <v>739.2299</v>
      </c>
      <c r="H125" s="31"/>
      <c r="I125" s="32"/>
      <c r="J125" s="32"/>
      <c r="K125" s="53"/>
      <c r="L125" s="40"/>
    </row>
    <row r="126" ht="30.5" hidden="1" customHeight="1" spans="1:12">
      <c r="A126" s="58">
        <v>3.1</v>
      </c>
      <c r="B126" s="38" t="s">
        <v>22</v>
      </c>
      <c r="C126" s="37">
        <v>369.4413</v>
      </c>
      <c r="D126" s="37"/>
      <c r="E126" s="37"/>
      <c r="F126" s="37"/>
      <c r="G126" s="37">
        <f t="shared" si="51"/>
        <v>369.4413</v>
      </c>
      <c r="H126" s="38" t="s">
        <v>23</v>
      </c>
      <c r="I126" s="37">
        <v>4095.19</v>
      </c>
      <c r="J126" s="37">
        <f t="shared" ref="J126:J131" si="58">G126/I126*10000</f>
        <v>902.134699488913</v>
      </c>
      <c r="K126" s="50">
        <f t="shared" ref="K126:K131" si="59">G126/G$223</f>
        <v>0.00797965357598672</v>
      </c>
      <c r="L126" s="39"/>
    </row>
    <row r="127" ht="30.5" hidden="1" customHeight="1" spans="1:12">
      <c r="A127" s="58">
        <v>3.2</v>
      </c>
      <c r="B127" s="38" t="s">
        <v>25</v>
      </c>
      <c r="C127" s="37">
        <v>76.5568</v>
      </c>
      <c r="D127" s="37"/>
      <c r="E127" s="37"/>
      <c r="F127" s="37"/>
      <c r="G127" s="37">
        <f t="shared" si="51"/>
        <v>76.5568</v>
      </c>
      <c r="H127" s="38" t="s">
        <v>26</v>
      </c>
      <c r="I127" s="37">
        <v>164</v>
      </c>
      <c r="J127" s="37">
        <f t="shared" si="58"/>
        <v>4668.09756097561</v>
      </c>
      <c r="K127" s="50">
        <f t="shared" si="59"/>
        <v>0.00165356916751349</v>
      </c>
      <c r="L127" s="39"/>
    </row>
    <row r="128" ht="30.5" hidden="1" customHeight="1" spans="1:12">
      <c r="A128" s="58">
        <v>3.3</v>
      </c>
      <c r="B128" s="38" t="s">
        <v>28</v>
      </c>
      <c r="C128" s="37">
        <v>27.1731</v>
      </c>
      <c r="D128" s="37"/>
      <c r="E128" s="37"/>
      <c r="F128" s="37"/>
      <c r="G128" s="37">
        <f t="shared" si="51"/>
        <v>27.1731</v>
      </c>
      <c r="H128" s="38" t="s">
        <v>29</v>
      </c>
      <c r="I128" s="54">
        <f>197.016+305.095+333.25</f>
        <v>835.361</v>
      </c>
      <c r="J128" s="37">
        <f t="shared" si="58"/>
        <v>325.285714798752</v>
      </c>
      <c r="K128" s="50">
        <f t="shared" si="59"/>
        <v>0.000586918475507868</v>
      </c>
      <c r="L128" s="39"/>
    </row>
    <row r="129" ht="30.5" hidden="1" customHeight="1" spans="1:12">
      <c r="A129" s="58">
        <v>3.4</v>
      </c>
      <c r="B129" s="38" t="s">
        <v>31</v>
      </c>
      <c r="C129" s="37">
        <v>98.0943</v>
      </c>
      <c r="D129" s="37"/>
      <c r="E129" s="37"/>
      <c r="F129" s="37"/>
      <c r="G129" s="37">
        <f t="shared" si="51"/>
        <v>98.0943</v>
      </c>
      <c r="H129" s="38" t="s">
        <v>26</v>
      </c>
      <c r="I129" s="37">
        <v>71</v>
      </c>
      <c r="J129" s="37">
        <f t="shared" si="58"/>
        <v>13816.0985915493</v>
      </c>
      <c r="K129" s="50">
        <f t="shared" si="59"/>
        <v>0.00211876293142893</v>
      </c>
      <c r="L129" s="39"/>
    </row>
    <row r="130" ht="30.5" hidden="1" customHeight="1" spans="1:12">
      <c r="A130" s="58">
        <v>3.5</v>
      </c>
      <c r="B130" s="38" t="s">
        <v>141</v>
      </c>
      <c r="C130" s="37">
        <f>1335566/10000-D130-E130</f>
        <v>39.335148</v>
      </c>
      <c r="D130" s="37">
        <f>942214.52/10000-E130</f>
        <v>49.221452</v>
      </c>
      <c r="E130" s="37">
        <v>45</v>
      </c>
      <c r="F130" s="37"/>
      <c r="G130" s="37">
        <f t="shared" si="51"/>
        <v>133.5566</v>
      </c>
      <c r="H130" s="38" t="s">
        <v>26</v>
      </c>
      <c r="I130" s="37">
        <v>1</v>
      </c>
      <c r="J130" s="37">
        <f t="shared" si="58"/>
        <v>1335566</v>
      </c>
      <c r="K130" s="50">
        <f t="shared" si="59"/>
        <v>0.00288472187810791</v>
      </c>
      <c r="L130" s="39"/>
    </row>
    <row r="131" ht="30.5" hidden="1" customHeight="1" spans="1:12">
      <c r="A131" s="58">
        <v>3.6</v>
      </c>
      <c r="B131" s="38" t="s">
        <v>142</v>
      </c>
      <c r="C131" s="37">
        <f>344078/10000-D131-E131</f>
        <v>6.5884</v>
      </c>
      <c r="D131" s="37">
        <f>27.8194-E131</f>
        <v>6.8194</v>
      </c>
      <c r="E131" s="37">
        <v>21</v>
      </c>
      <c r="F131" s="37"/>
      <c r="G131" s="37">
        <f t="shared" si="51"/>
        <v>34.4078</v>
      </c>
      <c r="H131" s="38" t="s">
        <v>26</v>
      </c>
      <c r="I131" s="37">
        <v>1</v>
      </c>
      <c r="J131" s="37">
        <f t="shared" si="58"/>
        <v>344078</v>
      </c>
      <c r="K131" s="50">
        <f t="shared" si="59"/>
        <v>0.000743182541615775</v>
      </c>
      <c r="L131" s="39"/>
    </row>
    <row r="132" s="16" customFormat="1" ht="30.5" customHeight="1" spans="1:12">
      <c r="A132" s="57">
        <v>4</v>
      </c>
      <c r="B132" s="31" t="s">
        <v>19</v>
      </c>
      <c r="C132" s="32">
        <f>SUM(C133:C138)</f>
        <v>2013.8327</v>
      </c>
      <c r="D132" s="32">
        <f t="shared" ref="C132:F132" si="60">SUM(D133:D138)</f>
        <v>0</v>
      </c>
      <c r="E132" s="32">
        <f t="shared" si="60"/>
        <v>0</v>
      </c>
      <c r="F132" s="32">
        <f t="shared" si="60"/>
        <v>0</v>
      </c>
      <c r="G132" s="32">
        <f t="shared" si="51"/>
        <v>2013.8327</v>
      </c>
      <c r="H132" s="31"/>
      <c r="I132" s="32"/>
      <c r="J132" s="32"/>
      <c r="K132" s="53"/>
      <c r="L132" s="40"/>
    </row>
    <row r="133" ht="30.5" hidden="1" customHeight="1" spans="1:12">
      <c r="A133" s="58">
        <v>4.1</v>
      </c>
      <c r="B133" s="38" t="s">
        <v>22</v>
      </c>
      <c r="C133" s="37">
        <v>1232.5427</v>
      </c>
      <c r="D133" s="39"/>
      <c r="E133" s="39"/>
      <c r="F133" s="39"/>
      <c r="G133" s="37">
        <f t="shared" si="51"/>
        <v>1232.5427</v>
      </c>
      <c r="H133" s="38" t="s">
        <v>23</v>
      </c>
      <c r="I133" s="37">
        <v>16849.09</v>
      </c>
      <c r="J133" s="37">
        <f t="shared" ref="J133:J138" si="61">G133/I133*10000</f>
        <v>731.518853540458</v>
      </c>
      <c r="K133" s="50">
        <f t="shared" ref="K133:K138" si="62">G133/G$223</f>
        <v>0.026621993165386</v>
      </c>
      <c r="L133" s="39"/>
    </row>
    <row r="134" ht="30.5" hidden="1" customHeight="1" spans="1:12">
      <c r="A134" s="58">
        <v>4.2</v>
      </c>
      <c r="B134" s="38" t="s">
        <v>25</v>
      </c>
      <c r="C134" s="37">
        <v>323.2576</v>
      </c>
      <c r="D134" s="39"/>
      <c r="E134" s="39"/>
      <c r="F134" s="39"/>
      <c r="G134" s="37">
        <f t="shared" si="51"/>
        <v>323.2576</v>
      </c>
      <c r="H134" s="38" t="s">
        <v>26</v>
      </c>
      <c r="I134" s="37">
        <v>903</v>
      </c>
      <c r="J134" s="37">
        <f t="shared" si="61"/>
        <v>3579.81838316722</v>
      </c>
      <c r="K134" s="50">
        <f t="shared" si="62"/>
        <v>0.00698212047165513</v>
      </c>
      <c r="L134" s="39"/>
    </row>
    <row r="135" ht="30.5" hidden="1" customHeight="1" spans="1:12">
      <c r="A135" s="58">
        <v>4.3</v>
      </c>
      <c r="B135" s="38" t="s">
        <v>28</v>
      </c>
      <c r="C135" s="37">
        <v>197.6571</v>
      </c>
      <c r="D135" s="39"/>
      <c r="E135" s="39"/>
      <c r="F135" s="39"/>
      <c r="G135" s="37">
        <f t="shared" si="51"/>
        <v>197.6571</v>
      </c>
      <c r="H135" s="38" t="s">
        <v>29</v>
      </c>
      <c r="I135" s="54">
        <f>2487.767+1771.468+750</f>
        <v>5009.235</v>
      </c>
      <c r="J135" s="37">
        <f t="shared" si="61"/>
        <v>394.585400764787</v>
      </c>
      <c r="K135" s="50">
        <f t="shared" si="62"/>
        <v>0.00426924435582639</v>
      </c>
      <c r="L135" s="39"/>
    </row>
    <row r="136" ht="30.5" hidden="1" customHeight="1" spans="1:12">
      <c r="A136" s="58">
        <v>4.4</v>
      </c>
      <c r="B136" s="38" t="s">
        <v>31</v>
      </c>
      <c r="C136" s="37">
        <v>45.3432</v>
      </c>
      <c r="D136" s="39"/>
      <c r="E136" s="39"/>
      <c r="F136" s="39"/>
      <c r="G136" s="37">
        <f t="shared" si="51"/>
        <v>45.3432</v>
      </c>
      <c r="H136" s="38" t="s">
        <v>26</v>
      </c>
      <c r="I136" s="37">
        <v>38</v>
      </c>
      <c r="J136" s="37">
        <f t="shared" si="61"/>
        <v>11932.4210526316</v>
      </c>
      <c r="K136" s="50">
        <f t="shared" si="62"/>
        <v>0.000979378937944082</v>
      </c>
      <c r="L136" s="39"/>
    </row>
    <row r="137" ht="30.5" hidden="1" customHeight="1" spans="1:12">
      <c r="A137" s="58">
        <v>4.5</v>
      </c>
      <c r="B137" s="38" t="s">
        <v>112</v>
      </c>
      <c r="C137" s="37">
        <v>138.9004</v>
      </c>
      <c r="D137" s="39"/>
      <c r="E137" s="39"/>
      <c r="F137" s="39"/>
      <c r="G137" s="37">
        <f t="shared" si="51"/>
        <v>138.9004</v>
      </c>
      <c r="H137" s="38" t="s">
        <v>23</v>
      </c>
      <c r="I137" s="37">
        <v>2420.95</v>
      </c>
      <c r="J137" s="37">
        <f t="shared" si="61"/>
        <v>573.743365207873</v>
      </c>
      <c r="K137" s="50">
        <f t="shared" si="62"/>
        <v>0.00300014392967431</v>
      </c>
      <c r="L137" s="39"/>
    </row>
    <row r="138" customFormat="1" ht="30.5" hidden="1" customHeight="1" spans="1:12">
      <c r="A138" s="58">
        <v>4.6</v>
      </c>
      <c r="B138" s="38" t="s">
        <v>143</v>
      </c>
      <c r="C138" s="37">
        <v>76.1317</v>
      </c>
      <c r="D138" s="39"/>
      <c r="E138" s="39"/>
      <c r="F138" s="39"/>
      <c r="G138" s="37">
        <f t="shared" si="51"/>
        <v>76.1317</v>
      </c>
      <c r="H138" s="38" t="s">
        <v>23</v>
      </c>
      <c r="I138" s="37">
        <v>140</v>
      </c>
      <c r="J138" s="37">
        <f t="shared" si="61"/>
        <v>5437.97857142857</v>
      </c>
      <c r="K138" s="50">
        <f t="shared" si="62"/>
        <v>0.00164438732797591</v>
      </c>
      <c r="L138" s="39"/>
    </row>
    <row r="139" s="16" customFormat="1" ht="30.5" customHeight="1" spans="1:12">
      <c r="A139" s="57">
        <v>5</v>
      </c>
      <c r="B139" s="31" t="s">
        <v>144</v>
      </c>
      <c r="C139" s="32">
        <f>SUM(C140:C144)</f>
        <v>1132.6958</v>
      </c>
      <c r="D139" s="32">
        <f t="shared" ref="C139:F139" si="63">SUM(D140:D144)</f>
        <v>0</v>
      </c>
      <c r="E139" s="32">
        <f t="shared" si="63"/>
        <v>0</v>
      </c>
      <c r="F139" s="32">
        <f t="shared" si="63"/>
        <v>0</v>
      </c>
      <c r="G139" s="32">
        <f t="shared" ref="G139:G144" si="64">C139+D139+E139+F139</f>
        <v>1132.6958</v>
      </c>
      <c r="H139" s="31"/>
      <c r="I139" s="32"/>
      <c r="J139" s="32"/>
      <c r="K139" s="53"/>
      <c r="L139" s="40"/>
    </row>
    <row r="140" s="17" customFormat="1" ht="30.5" hidden="1" customHeight="1" spans="1:12">
      <c r="A140" s="58">
        <v>5.1</v>
      </c>
      <c r="B140" s="38" t="s">
        <v>22</v>
      </c>
      <c r="C140" s="37">
        <v>779.8241</v>
      </c>
      <c r="D140" s="37"/>
      <c r="E140" s="37"/>
      <c r="F140" s="37"/>
      <c r="G140" s="37">
        <f t="shared" si="64"/>
        <v>779.8241</v>
      </c>
      <c r="H140" s="38" t="s">
        <v>23</v>
      </c>
      <c r="I140" s="37">
        <v>6670.14</v>
      </c>
      <c r="J140" s="37">
        <f t="shared" ref="J140:J144" si="65">G140/I140*10000</f>
        <v>1169.12703481486</v>
      </c>
      <c r="K140" s="50">
        <f t="shared" ref="K140:K144" si="66">G140/G$223</f>
        <v>0.0168436126881473</v>
      </c>
      <c r="L140" s="39"/>
    </row>
    <row r="141" ht="30.5" hidden="1" customHeight="1" spans="1:12">
      <c r="A141" s="58">
        <v>5.2</v>
      </c>
      <c r="B141" s="38" t="s">
        <v>25</v>
      </c>
      <c r="C141" s="37">
        <v>133.5893</v>
      </c>
      <c r="D141" s="37"/>
      <c r="E141" s="37"/>
      <c r="F141" s="37"/>
      <c r="G141" s="37">
        <f t="shared" si="64"/>
        <v>133.5893</v>
      </c>
      <c r="H141" s="38" t="s">
        <v>26</v>
      </c>
      <c r="I141" s="37">
        <v>260</v>
      </c>
      <c r="J141" s="37">
        <f t="shared" si="65"/>
        <v>5138.05</v>
      </c>
      <c r="K141" s="50">
        <f t="shared" si="66"/>
        <v>0.00288542817345695</v>
      </c>
      <c r="L141" s="39"/>
    </row>
    <row r="142" ht="30.5" hidden="1" customHeight="1" spans="1:12">
      <c r="A142" s="58">
        <v>5.3</v>
      </c>
      <c r="B142" s="38" t="s">
        <v>28</v>
      </c>
      <c r="C142" s="37">
        <v>57.9188</v>
      </c>
      <c r="D142" s="37"/>
      <c r="E142" s="37"/>
      <c r="F142" s="37"/>
      <c r="G142" s="37">
        <f t="shared" si="64"/>
        <v>57.9188</v>
      </c>
      <c r="H142" s="38" t="s">
        <v>29</v>
      </c>
      <c r="I142" s="54">
        <f>787.587+417.518+335</f>
        <v>1540.105</v>
      </c>
      <c r="J142" s="37">
        <f t="shared" si="65"/>
        <v>376.070462728191</v>
      </c>
      <c r="K142" s="50">
        <f t="shared" si="66"/>
        <v>0.00125100241780456</v>
      </c>
      <c r="L142" s="39"/>
    </row>
    <row r="143" ht="30.5" hidden="1" customHeight="1" spans="1:12">
      <c r="A143" s="58">
        <v>5.4</v>
      </c>
      <c r="B143" s="38" t="s">
        <v>31</v>
      </c>
      <c r="C143" s="37">
        <v>3.8825</v>
      </c>
      <c r="D143" s="37"/>
      <c r="E143" s="37"/>
      <c r="F143" s="37"/>
      <c r="G143" s="37">
        <f t="shared" si="64"/>
        <v>3.8825</v>
      </c>
      <c r="H143" s="38" t="s">
        <v>26</v>
      </c>
      <c r="I143" s="37">
        <v>5</v>
      </c>
      <c r="J143" s="37">
        <f t="shared" si="65"/>
        <v>7765</v>
      </c>
      <c r="K143" s="50">
        <f t="shared" si="66"/>
        <v>8.38590731701313e-5</v>
      </c>
      <c r="L143" s="39"/>
    </row>
    <row r="144" customFormat="1" ht="30.5" hidden="1" customHeight="1" spans="1:12">
      <c r="A144" s="58">
        <v>5.5</v>
      </c>
      <c r="B144" s="38" t="s">
        <v>143</v>
      </c>
      <c r="C144" s="37">
        <v>157.4811</v>
      </c>
      <c r="D144" s="39"/>
      <c r="E144" s="39"/>
      <c r="F144" s="39"/>
      <c r="G144" s="37">
        <f t="shared" si="64"/>
        <v>157.4811</v>
      </c>
      <c r="H144" s="38" t="s">
        <v>23</v>
      </c>
      <c r="I144" s="37">
        <v>456</v>
      </c>
      <c r="J144" s="37">
        <f t="shared" si="65"/>
        <v>3453.53289473684</v>
      </c>
      <c r="K144" s="50">
        <f t="shared" si="66"/>
        <v>0.00340147304257895</v>
      </c>
      <c r="L144" s="39"/>
    </row>
    <row r="145" s="16" customFormat="1" ht="30.5" customHeight="1" spans="1:12">
      <c r="A145" s="57">
        <v>6</v>
      </c>
      <c r="B145" s="31" t="s">
        <v>145</v>
      </c>
      <c r="C145" s="32">
        <f>SUM(C146:C150)</f>
        <v>763.0144</v>
      </c>
      <c r="D145" s="32">
        <f t="shared" ref="C145:F145" si="67">SUM(D146:D150)</f>
        <v>0</v>
      </c>
      <c r="E145" s="32">
        <f t="shared" si="67"/>
        <v>0</v>
      </c>
      <c r="F145" s="32">
        <f t="shared" si="67"/>
        <v>0</v>
      </c>
      <c r="G145" s="32">
        <f t="shared" ref="G145:G150" si="68">C145+D145+E145+F145</f>
        <v>763.0144</v>
      </c>
      <c r="H145" s="31"/>
      <c r="I145" s="32"/>
      <c r="J145" s="32"/>
      <c r="K145" s="53"/>
      <c r="L145" s="40"/>
    </row>
    <row r="146" ht="30.5" hidden="1" customHeight="1" spans="1:12">
      <c r="A146" s="58">
        <v>6.1</v>
      </c>
      <c r="B146" s="38" t="s">
        <v>22</v>
      </c>
      <c r="C146" s="37">
        <v>284.8027</v>
      </c>
      <c r="D146" s="39"/>
      <c r="E146" s="39"/>
      <c r="F146" s="39"/>
      <c r="G146" s="37">
        <f t="shared" si="68"/>
        <v>284.8027</v>
      </c>
      <c r="H146" s="38" t="s">
        <v>23</v>
      </c>
      <c r="I146" s="37">
        <v>8874.45</v>
      </c>
      <c r="J146" s="37">
        <f t="shared" ref="J146:J150" si="69">G146/I146*10000</f>
        <v>320.924338973119</v>
      </c>
      <c r="K146" s="50">
        <f t="shared" ref="K146:K150" si="70">G146/G$223</f>
        <v>0.00615152362095324</v>
      </c>
      <c r="L146" s="39"/>
    </row>
    <row r="147" ht="30.5" hidden="1" customHeight="1" spans="1:12">
      <c r="A147" s="58">
        <v>6.2</v>
      </c>
      <c r="B147" s="38" t="s">
        <v>25</v>
      </c>
      <c r="C147" s="37">
        <v>181.6453</v>
      </c>
      <c r="D147" s="39"/>
      <c r="E147" s="39"/>
      <c r="F147" s="39"/>
      <c r="G147" s="37">
        <f t="shared" si="68"/>
        <v>181.6453</v>
      </c>
      <c r="H147" s="38" t="s">
        <v>26</v>
      </c>
      <c r="I147" s="37">
        <v>401</v>
      </c>
      <c r="J147" s="37">
        <f t="shared" si="69"/>
        <v>4529.80798004988</v>
      </c>
      <c r="K147" s="50">
        <f t="shared" si="70"/>
        <v>0.00392340154635169</v>
      </c>
      <c r="L147" s="39"/>
    </row>
    <row r="148" ht="30.5" hidden="1" customHeight="1" spans="1:12">
      <c r="A148" s="58">
        <v>6.3</v>
      </c>
      <c r="B148" s="38" t="s">
        <v>28</v>
      </c>
      <c r="C148" s="37">
        <v>232.4368</v>
      </c>
      <c r="D148" s="39"/>
      <c r="E148" s="39"/>
      <c r="F148" s="39"/>
      <c r="G148" s="37">
        <f t="shared" si="68"/>
        <v>232.4368</v>
      </c>
      <c r="H148" s="38" t="s">
        <v>29</v>
      </c>
      <c r="I148" s="54">
        <f>2915.663+2006.818+1150</f>
        <v>6072.481</v>
      </c>
      <c r="J148" s="37">
        <f t="shared" si="69"/>
        <v>382.770732423864</v>
      </c>
      <c r="K148" s="50">
        <f t="shared" si="70"/>
        <v>0.00502045965708466</v>
      </c>
      <c r="L148" s="39"/>
    </row>
    <row r="149" ht="30.5" hidden="1" customHeight="1" spans="1:12">
      <c r="A149" s="58">
        <v>6.4</v>
      </c>
      <c r="B149" s="38" t="s">
        <v>31</v>
      </c>
      <c r="C149" s="37">
        <v>13.3827</v>
      </c>
      <c r="D149" s="39"/>
      <c r="E149" s="39"/>
      <c r="F149" s="39"/>
      <c r="G149" s="37">
        <f t="shared" si="68"/>
        <v>13.3827</v>
      </c>
      <c r="H149" s="38" t="s">
        <v>26</v>
      </c>
      <c r="I149" s="37">
        <v>22</v>
      </c>
      <c r="J149" s="37">
        <f t="shared" si="69"/>
        <v>6083.04545454545</v>
      </c>
      <c r="K149" s="50">
        <f t="shared" si="70"/>
        <v>0.000289056231426637</v>
      </c>
      <c r="L149" s="39"/>
    </row>
    <row r="150" customFormat="1" ht="30.5" hidden="1" customHeight="1" spans="1:12">
      <c r="A150" s="58">
        <v>6.5</v>
      </c>
      <c r="B150" s="38" t="s">
        <v>143</v>
      </c>
      <c r="C150" s="37">
        <v>50.7469</v>
      </c>
      <c r="D150" s="39"/>
      <c r="E150" s="39"/>
      <c r="F150" s="39"/>
      <c r="G150" s="37">
        <f t="shared" si="68"/>
        <v>50.7469</v>
      </c>
      <c r="H150" s="38" t="s">
        <v>23</v>
      </c>
      <c r="I150" s="37">
        <v>56</v>
      </c>
      <c r="J150" s="37">
        <f t="shared" si="69"/>
        <v>9061.94642857143</v>
      </c>
      <c r="K150" s="50">
        <f t="shared" si="70"/>
        <v>0.00109609478435476</v>
      </c>
      <c r="L150" s="39"/>
    </row>
    <row r="151" s="16" customFormat="1" ht="30.5" customHeight="1" spans="1:12">
      <c r="A151" s="57">
        <v>7</v>
      </c>
      <c r="B151" s="31" t="s">
        <v>146</v>
      </c>
      <c r="C151" s="32">
        <f>SUM(C152:C156)</f>
        <v>1769.7805</v>
      </c>
      <c r="D151" s="32">
        <f t="shared" ref="C151:F151" si="71">SUM(D152:D156)</f>
        <v>0</v>
      </c>
      <c r="E151" s="32">
        <f t="shared" si="71"/>
        <v>0</v>
      </c>
      <c r="F151" s="32">
        <f t="shared" si="71"/>
        <v>0</v>
      </c>
      <c r="G151" s="32">
        <f t="shared" ref="G151:G163" si="72">C151+D151+E151+F151</f>
        <v>1769.7805</v>
      </c>
      <c r="H151" s="31"/>
      <c r="I151" s="32"/>
      <c r="J151" s="32"/>
      <c r="K151" s="53"/>
      <c r="L151" s="40"/>
    </row>
    <row r="152" ht="30.5" hidden="1" customHeight="1" spans="1:12">
      <c r="A152" s="58">
        <v>7.1</v>
      </c>
      <c r="B152" s="38" t="s">
        <v>22</v>
      </c>
      <c r="C152" s="37">
        <f>11501860/10000</f>
        <v>1150.186</v>
      </c>
      <c r="D152" s="39"/>
      <c r="E152" s="39"/>
      <c r="F152" s="39"/>
      <c r="G152" s="37">
        <f t="shared" si="72"/>
        <v>1150.186</v>
      </c>
      <c r="H152" s="38" t="s">
        <v>23</v>
      </c>
      <c r="I152" s="37">
        <v>22591.63</v>
      </c>
      <c r="J152" s="37">
        <f t="shared" ref="J152:J156" si="73">G152/I152*10000</f>
        <v>509.120413179571</v>
      </c>
      <c r="K152" s="50">
        <f t="shared" ref="K152:K156" si="74">G152/G$223</f>
        <v>0.024843150530138</v>
      </c>
      <c r="L152" s="39"/>
    </row>
    <row r="153" ht="30.5" hidden="1" customHeight="1" spans="1:12">
      <c r="A153" s="58">
        <v>7.2</v>
      </c>
      <c r="B153" s="38" t="s">
        <v>25</v>
      </c>
      <c r="C153" s="37">
        <v>282.2763</v>
      </c>
      <c r="D153" s="39"/>
      <c r="E153" s="39"/>
      <c r="F153" s="39"/>
      <c r="G153" s="37">
        <f t="shared" si="72"/>
        <v>282.2763</v>
      </c>
      <c r="H153" s="38" t="s">
        <v>26</v>
      </c>
      <c r="I153" s="37">
        <v>753</v>
      </c>
      <c r="J153" s="37">
        <f t="shared" si="73"/>
        <v>3748.68924302789</v>
      </c>
      <c r="K153" s="50">
        <f t="shared" si="74"/>
        <v>0.00609695528548459</v>
      </c>
      <c r="L153" s="39"/>
    </row>
    <row r="154" ht="30.5" hidden="1" customHeight="1" spans="1:12">
      <c r="A154" s="58">
        <v>7.3</v>
      </c>
      <c r="B154" s="38" t="s">
        <v>28</v>
      </c>
      <c r="C154" s="37">
        <v>192.343</v>
      </c>
      <c r="D154" s="39"/>
      <c r="E154" s="39"/>
      <c r="F154" s="39"/>
      <c r="G154" s="37">
        <f t="shared" si="72"/>
        <v>192.343</v>
      </c>
      <c r="H154" s="38" t="s">
        <v>29</v>
      </c>
      <c r="I154" s="37">
        <f>1312.326+2004.221+2996.5</f>
        <v>6313.047</v>
      </c>
      <c r="J154" s="37">
        <f t="shared" si="73"/>
        <v>304.675381000648</v>
      </c>
      <c r="K154" s="50">
        <f t="shared" si="74"/>
        <v>0.00415446380187059</v>
      </c>
      <c r="L154" s="39"/>
    </row>
    <row r="155" ht="30.5" hidden="1" customHeight="1" spans="1:12">
      <c r="A155" s="58">
        <v>7.4</v>
      </c>
      <c r="B155" s="38" t="s">
        <v>31</v>
      </c>
      <c r="C155" s="37">
        <v>22.199</v>
      </c>
      <c r="D155" s="37"/>
      <c r="E155" s="37"/>
      <c r="F155" s="37"/>
      <c r="G155" s="37">
        <f t="shared" si="72"/>
        <v>22.199</v>
      </c>
      <c r="H155" s="38" t="s">
        <v>26</v>
      </c>
      <c r="I155" s="37">
        <v>20</v>
      </c>
      <c r="J155" s="37">
        <f t="shared" si="73"/>
        <v>11099.5</v>
      </c>
      <c r="K155" s="50">
        <f t="shared" si="74"/>
        <v>0.000479481665242433</v>
      </c>
      <c r="L155" s="39"/>
    </row>
    <row r="156" customFormat="1" ht="30.5" hidden="1" customHeight="1" spans="1:12">
      <c r="A156" s="58">
        <v>7.5</v>
      </c>
      <c r="B156" s="38" t="s">
        <v>143</v>
      </c>
      <c r="C156" s="37">
        <v>122.7762</v>
      </c>
      <c r="D156" s="39"/>
      <c r="E156" s="39"/>
      <c r="F156" s="39"/>
      <c r="G156" s="37">
        <f t="shared" si="72"/>
        <v>122.7762</v>
      </c>
      <c r="H156" s="38" t="s">
        <v>23</v>
      </c>
      <c r="I156" s="37">
        <v>430</v>
      </c>
      <c r="J156" s="37">
        <f t="shared" si="73"/>
        <v>2855.26046511628</v>
      </c>
      <c r="K156" s="50">
        <f t="shared" si="74"/>
        <v>0.00265187336493256</v>
      </c>
      <c r="L156" s="39"/>
    </row>
    <row r="157" s="16" customFormat="1" ht="30.5" customHeight="1" spans="1:12">
      <c r="A157" s="57">
        <v>8</v>
      </c>
      <c r="B157" s="31" t="s">
        <v>147</v>
      </c>
      <c r="C157" s="32">
        <f>SUM(C158:C162)</f>
        <v>446.546858</v>
      </c>
      <c r="D157" s="32">
        <f t="shared" ref="C157:F157" si="75">SUM(D158:D162)</f>
        <v>5.829442</v>
      </c>
      <c r="E157" s="32">
        <f t="shared" si="75"/>
        <v>10</v>
      </c>
      <c r="F157" s="32">
        <f t="shared" si="75"/>
        <v>0</v>
      </c>
      <c r="G157" s="32">
        <f t="shared" si="72"/>
        <v>462.3763</v>
      </c>
      <c r="H157" s="31"/>
      <c r="I157" s="32"/>
      <c r="J157" s="32"/>
      <c r="K157" s="53"/>
      <c r="L157" s="40"/>
    </row>
    <row r="158" ht="30.5" hidden="1" customHeight="1" spans="1:12">
      <c r="A158" s="58">
        <v>8.1</v>
      </c>
      <c r="B158" s="38" t="s">
        <v>22</v>
      </c>
      <c r="C158" s="37">
        <v>199.976</v>
      </c>
      <c r="D158" s="37"/>
      <c r="E158" s="37"/>
      <c r="F158" s="37"/>
      <c r="G158" s="37">
        <f t="shared" si="72"/>
        <v>199.976</v>
      </c>
      <c r="H158" s="38" t="s">
        <v>23</v>
      </c>
      <c r="I158" s="37">
        <v>6533.78</v>
      </c>
      <c r="J158" s="37">
        <f t="shared" ref="J158:J162" si="76">G158/I158*10000</f>
        <v>306.064789448068</v>
      </c>
      <c r="K158" s="50">
        <f t="shared" ref="K158:K162" si="77">G158/G$223</f>
        <v>0.0043193308477193</v>
      </c>
      <c r="L158" s="39"/>
    </row>
    <row r="159" ht="30.5" hidden="1" customHeight="1" spans="1:12">
      <c r="A159" s="58">
        <v>8.2</v>
      </c>
      <c r="B159" s="38" t="s">
        <v>25</v>
      </c>
      <c r="C159" s="37">
        <v>77.9417</v>
      </c>
      <c r="D159" s="37"/>
      <c r="E159" s="37"/>
      <c r="F159" s="37"/>
      <c r="G159" s="37">
        <f t="shared" si="72"/>
        <v>77.9417</v>
      </c>
      <c r="H159" s="38" t="s">
        <v>26</v>
      </c>
      <c r="I159" s="37">
        <v>227</v>
      </c>
      <c r="J159" s="37">
        <f t="shared" si="76"/>
        <v>3433.5550660793</v>
      </c>
      <c r="K159" s="50">
        <f t="shared" si="77"/>
        <v>0.00168348196350404</v>
      </c>
      <c r="L159" s="39"/>
    </row>
    <row r="160" ht="30.5" hidden="1" customHeight="1" spans="1:12">
      <c r="A160" s="58">
        <v>8.3</v>
      </c>
      <c r="B160" s="38" t="s">
        <v>28</v>
      </c>
      <c r="C160" s="37">
        <v>153.3687</v>
      </c>
      <c r="D160" s="37"/>
      <c r="E160" s="37"/>
      <c r="F160" s="37"/>
      <c r="G160" s="37">
        <f t="shared" si="72"/>
        <v>153.3687</v>
      </c>
      <c r="H160" s="38" t="s">
        <v>29</v>
      </c>
      <c r="I160" s="54">
        <f>1448.224+1769.454+1066.75</f>
        <v>4284.428</v>
      </c>
      <c r="J160" s="37">
        <f t="shared" si="76"/>
        <v>357.967738050447</v>
      </c>
      <c r="K160" s="50">
        <f t="shared" si="77"/>
        <v>0.00331264830271936</v>
      </c>
      <c r="L160" s="39"/>
    </row>
    <row r="161" ht="30.5" hidden="1" customHeight="1" spans="1:12">
      <c r="A161" s="58">
        <v>8.4</v>
      </c>
      <c r="B161" s="38" t="s">
        <v>31</v>
      </c>
      <c r="C161" s="37">
        <v>8.7067</v>
      </c>
      <c r="D161" s="37"/>
      <c r="E161" s="37"/>
      <c r="F161" s="37"/>
      <c r="G161" s="37">
        <f t="shared" si="72"/>
        <v>8.7067</v>
      </c>
      <c r="H161" s="38" t="s">
        <v>26</v>
      </c>
      <c r="I161" s="37">
        <v>8</v>
      </c>
      <c r="J161" s="37">
        <f t="shared" si="76"/>
        <v>10883.375</v>
      </c>
      <c r="K161" s="50">
        <f t="shared" si="77"/>
        <v>0.000188058156437961</v>
      </c>
      <c r="L161" s="39"/>
    </row>
    <row r="162" ht="30.5" hidden="1" customHeight="1" spans="1:12">
      <c r="A162" s="58">
        <v>8.5</v>
      </c>
      <c r="B162" s="38" t="s">
        <v>148</v>
      </c>
      <c r="C162" s="37">
        <f>223832/10000-D162-E162</f>
        <v>6.553758</v>
      </c>
      <c r="D162" s="37">
        <f>158294.42/10000-E162</f>
        <v>5.829442</v>
      </c>
      <c r="E162" s="37">
        <v>10</v>
      </c>
      <c r="F162" s="37"/>
      <c r="G162" s="37">
        <f t="shared" si="72"/>
        <v>22.3832</v>
      </c>
      <c r="H162" s="38" t="s">
        <v>26</v>
      </c>
      <c r="I162" s="37">
        <v>1</v>
      </c>
      <c r="J162" s="37">
        <f t="shared" si="76"/>
        <v>223832</v>
      </c>
      <c r="K162" s="50">
        <f t="shared" si="77"/>
        <v>0.000483460246382919</v>
      </c>
      <c r="L162" s="39"/>
    </row>
    <row r="163" s="16" customFormat="1" ht="30.5" customHeight="1" spans="1:12">
      <c r="A163" s="57">
        <v>9</v>
      </c>
      <c r="B163" s="31" t="s">
        <v>149</v>
      </c>
      <c r="C163" s="32">
        <f>SUM(C164:C169)</f>
        <v>1447.740958</v>
      </c>
      <c r="D163" s="32">
        <f t="shared" ref="C163:F163" si="78">SUM(D164:D169)</f>
        <v>5.829442</v>
      </c>
      <c r="E163" s="32">
        <f t="shared" si="78"/>
        <v>10</v>
      </c>
      <c r="F163" s="32">
        <f t="shared" si="78"/>
        <v>0</v>
      </c>
      <c r="G163" s="32">
        <f t="shared" si="72"/>
        <v>1463.5704</v>
      </c>
      <c r="H163" s="31"/>
      <c r="I163" s="32"/>
      <c r="J163" s="32"/>
      <c r="K163" s="53"/>
      <c r="L163" s="40"/>
    </row>
    <row r="164" ht="30.5" hidden="1" customHeight="1" spans="1:12">
      <c r="A164" s="58">
        <v>9.1</v>
      </c>
      <c r="B164" s="38" t="s">
        <v>22</v>
      </c>
      <c r="C164" s="37">
        <v>660.129</v>
      </c>
      <c r="D164" s="37"/>
      <c r="E164" s="37"/>
      <c r="F164" s="37"/>
      <c r="G164" s="37">
        <f t="shared" ref="G164:G170" si="79">C164+D164+E164+F164</f>
        <v>660.129</v>
      </c>
      <c r="H164" s="38" t="s">
        <v>23</v>
      </c>
      <c r="I164" s="37">
        <v>12659.3</v>
      </c>
      <c r="J164" s="37">
        <f t="shared" ref="J164:J169" si="80">G164/I164*10000</f>
        <v>521.457742529208</v>
      </c>
      <c r="K164" s="50">
        <f t="shared" ref="K164:K169" si="81">G164/G$223</f>
        <v>0.0142582887605217</v>
      </c>
      <c r="L164" s="39"/>
    </row>
    <row r="165" ht="30.5" hidden="1" customHeight="1" spans="1:12">
      <c r="A165" s="58">
        <v>9.2</v>
      </c>
      <c r="B165" s="38" t="s">
        <v>25</v>
      </c>
      <c r="C165" s="37">
        <v>324.1045</v>
      </c>
      <c r="D165" s="37"/>
      <c r="E165" s="37"/>
      <c r="F165" s="37"/>
      <c r="G165" s="37">
        <f t="shared" si="79"/>
        <v>324.1045</v>
      </c>
      <c r="H165" s="38" t="s">
        <v>26</v>
      </c>
      <c r="I165" s="37">
        <v>626</v>
      </c>
      <c r="J165" s="37">
        <f t="shared" si="80"/>
        <v>5177.38817891374</v>
      </c>
      <c r="K165" s="50">
        <f t="shared" si="81"/>
        <v>0.00700041287321798</v>
      </c>
      <c r="L165" s="39"/>
    </row>
    <row r="166" ht="30.5" hidden="1" customHeight="1" spans="1:12">
      <c r="A166" s="58">
        <v>9.3</v>
      </c>
      <c r="B166" s="38" t="s">
        <v>28</v>
      </c>
      <c r="C166" s="37">
        <v>384.2032</v>
      </c>
      <c r="D166" s="37"/>
      <c r="E166" s="37"/>
      <c r="F166" s="37"/>
      <c r="G166" s="37">
        <f t="shared" si="79"/>
        <v>384.2032</v>
      </c>
      <c r="H166" s="38" t="s">
        <v>29</v>
      </c>
      <c r="I166" s="37">
        <f>2559.42+6623.05+1766.5</f>
        <v>10948.97</v>
      </c>
      <c r="J166" s="37">
        <f t="shared" si="80"/>
        <v>350.9035096452</v>
      </c>
      <c r="K166" s="50">
        <f t="shared" si="81"/>
        <v>0.00829849948770086</v>
      </c>
      <c r="L166" s="39"/>
    </row>
    <row r="167" ht="30.5" hidden="1" customHeight="1" spans="1:12">
      <c r="A167" s="58">
        <v>9.4</v>
      </c>
      <c r="B167" s="38" t="s">
        <v>31</v>
      </c>
      <c r="C167" s="37">
        <v>10.6916</v>
      </c>
      <c r="D167" s="37"/>
      <c r="E167" s="37"/>
      <c r="F167" s="37"/>
      <c r="G167" s="37">
        <f t="shared" si="79"/>
        <v>10.6916</v>
      </c>
      <c r="H167" s="38" t="s">
        <v>26</v>
      </c>
      <c r="I167" s="37">
        <v>16</v>
      </c>
      <c r="J167" s="37">
        <f t="shared" si="80"/>
        <v>6682.25</v>
      </c>
      <c r="K167" s="50">
        <f t="shared" si="81"/>
        <v>0.000230930500117392</v>
      </c>
      <c r="L167" s="39"/>
    </row>
    <row r="168" ht="30.5" hidden="1" customHeight="1" spans="1:12">
      <c r="A168" s="58">
        <v>9.5</v>
      </c>
      <c r="B168" s="38" t="s">
        <v>148</v>
      </c>
      <c r="C168" s="37">
        <f>223832/10000-D168-E168</f>
        <v>6.553758</v>
      </c>
      <c r="D168" s="37">
        <f>158294.42/10000-E168</f>
        <v>5.829442</v>
      </c>
      <c r="E168" s="37">
        <v>10</v>
      </c>
      <c r="F168" s="37"/>
      <c r="G168" s="37">
        <f t="shared" si="79"/>
        <v>22.3832</v>
      </c>
      <c r="H168" s="38" t="s">
        <v>26</v>
      </c>
      <c r="I168" s="37">
        <v>1</v>
      </c>
      <c r="J168" s="37">
        <f t="shared" si="80"/>
        <v>223832</v>
      </c>
      <c r="K168" s="50">
        <f t="shared" si="81"/>
        <v>0.000483460246382919</v>
      </c>
      <c r="L168" s="39"/>
    </row>
    <row r="169" customFormat="1" ht="30.5" hidden="1" customHeight="1" spans="1:12">
      <c r="A169" s="58">
        <v>9.6</v>
      </c>
      <c r="B169" s="38" t="s">
        <v>143</v>
      </c>
      <c r="C169" s="37">
        <v>62.0589</v>
      </c>
      <c r="D169" s="39"/>
      <c r="E169" s="39"/>
      <c r="F169" s="39"/>
      <c r="G169" s="37">
        <f t="shared" si="79"/>
        <v>62.0589</v>
      </c>
      <c r="H169" s="38" t="s">
        <v>23</v>
      </c>
      <c r="I169" s="37">
        <v>150</v>
      </c>
      <c r="J169" s="37">
        <f t="shared" si="80"/>
        <v>4137.26</v>
      </c>
      <c r="K169" s="50">
        <f t="shared" si="81"/>
        <v>0.00134042545678245</v>
      </c>
      <c r="L169" s="39"/>
    </row>
    <row r="170" s="16" customFormat="1" ht="30.5" customHeight="1" spans="1:12">
      <c r="A170" s="57">
        <v>10</v>
      </c>
      <c r="B170" s="31" t="s">
        <v>150</v>
      </c>
      <c r="C170" s="32">
        <f>SUM(C171:C176)</f>
        <v>1659.885758</v>
      </c>
      <c r="D170" s="32">
        <f>SUM(D171:D176)</f>
        <v>10.779442</v>
      </c>
      <c r="E170" s="32">
        <f>SUM(E171:E176)</f>
        <v>65</v>
      </c>
      <c r="F170" s="32">
        <f>SUM(F171:F176)</f>
        <v>0</v>
      </c>
      <c r="G170" s="32">
        <f t="shared" si="79"/>
        <v>1735.6652</v>
      </c>
      <c r="H170" s="31"/>
      <c r="I170" s="32"/>
      <c r="J170" s="32"/>
      <c r="K170" s="53"/>
      <c r="L170" s="40"/>
    </row>
    <row r="171" ht="30.5" hidden="1" customHeight="1" spans="1:12">
      <c r="A171" s="58">
        <v>10.1</v>
      </c>
      <c r="B171" s="38" t="s">
        <v>22</v>
      </c>
      <c r="C171" s="37">
        <v>799.3023</v>
      </c>
      <c r="D171" s="37"/>
      <c r="E171" s="37"/>
      <c r="F171" s="37"/>
      <c r="G171" s="37">
        <f t="shared" ref="G171:G177" si="82">C171+D171+E171+F171</f>
        <v>799.3023</v>
      </c>
      <c r="H171" s="38" t="s">
        <v>23</v>
      </c>
      <c r="I171" s="37">
        <v>29859.52</v>
      </c>
      <c r="J171" s="37">
        <f t="shared" ref="J171:J176" si="83">G171/I171*10000</f>
        <v>267.687591763029</v>
      </c>
      <c r="K171" s="50">
        <f t="shared" ref="K171:K176" si="84">G171/G$223</f>
        <v>0.0172643271244699</v>
      </c>
      <c r="L171" s="39"/>
    </row>
    <row r="172" ht="30.5" hidden="1" customHeight="1" spans="1:12">
      <c r="A172" s="58">
        <v>10.2</v>
      </c>
      <c r="B172" s="38" t="s">
        <v>25</v>
      </c>
      <c r="C172" s="37">
        <v>313.2507</v>
      </c>
      <c r="D172" s="37"/>
      <c r="E172" s="37"/>
      <c r="F172" s="37"/>
      <c r="G172" s="37">
        <f t="shared" si="82"/>
        <v>313.2507</v>
      </c>
      <c r="H172" s="38" t="s">
        <v>26</v>
      </c>
      <c r="I172" s="37">
        <v>936</v>
      </c>
      <c r="J172" s="37">
        <f t="shared" si="83"/>
        <v>3346.69551282051</v>
      </c>
      <c r="K172" s="50">
        <f t="shared" si="84"/>
        <v>0.00676597897537537</v>
      </c>
      <c r="L172" s="39"/>
    </row>
    <row r="173" ht="30.5" hidden="1" customHeight="1" spans="1:12">
      <c r="A173" s="58">
        <v>10.3</v>
      </c>
      <c r="B173" s="38" t="s">
        <v>28</v>
      </c>
      <c r="C173" s="37">
        <v>470.4722</v>
      </c>
      <c r="D173" s="37"/>
      <c r="E173" s="37"/>
      <c r="F173" s="37"/>
      <c r="G173" s="37">
        <f t="shared" si="82"/>
        <v>470.4722</v>
      </c>
      <c r="H173" s="38" t="s">
        <v>29</v>
      </c>
      <c r="I173" s="54">
        <f>3204.926+5855.217+5696</f>
        <v>14756.143</v>
      </c>
      <c r="J173" s="37">
        <f t="shared" si="83"/>
        <v>318.83141821003</v>
      </c>
      <c r="K173" s="50">
        <f t="shared" si="84"/>
        <v>0.0101618448536543</v>
      </c>
      <c r="L173" s="39"/>
    </row>
    <row r="174" ht="30.5" hidden="1" customHeight="1" spans="1:12">
      <c r="A174" s="58">
        <v>10.4</v>
      </c>
      <c r="B174" s="38" t="s">
        <v>31</v>
      </c>
      <c r="C174" s="37">
        <v>31.4621</v>
      </c>
      <c r="D174" s="37"/>
      <c r="E174" s="37"/>
      <c r="F174" s="37"/>
      <c r="G174" s="37">
        <f t="shared" si="82"/>
        <v>31.4621</v>
      </c>
      <c r="H174" s="38" t="s">
        <v>26</v>
      </c>
      <c r="I174" s="37">
        <v>18</v>
      </c>
      <c r="J174" s="37">
        <f t="shared" si="83"/>
        <v>17478.9444444444</v>
      </c>
      <c r="K174" s="50">
        <f t="shared" si="84"/>
        <v>0.000679557642237215</v>
      </c>
      <c r="L174" s="39"/>
    </row>
    <row r="175" ht="30.5" hidden="1" customHeight="1" spans="1:12">
      <c r="A175" s="58">
        <v>10.5</v>
      </c>
      <c r="B175" s="38" t="s">
        <v>151</v>
      </c>
      <c r="C175" s="37">
        <f>824477/10000-D175-E175</f>
        <v>6.66825799999999</v>
      </c>
      <c r="D175" s="37">
        <f>757794.42/10000-E175</f>
        <v>10.779442</v>
      </c>
      <c r="E175" s="37">
        <v>65</v>
      </c>
      <c r="F175" s="37"/>
      <c r="G175" s="37">
        <f t="shared" si="82"/>
        <v>82.4477</v>
      </c>
      <c r="H175" s="38" t="s">
        <v>26</v>
      </c>
      <c r="I175" s="37">
        <v>1</v>
      </c>
      <c r="J175" s="37">
        <f t="shared" si="83"/>
        <v>824477</v>
      </c>
      <c r="K175" s="50">
        <f t="shared" si="84"/>
        <v>0.00178080816664753</v>
      </c>
      <c r="L175" s="39"/>
    </row>
    <row r="176" customFormat="1" ht="30.5" hidden="1" customHeight="1" spans="1:12">
      <c r="A176" s="58">
        <v>10.6</v>
      </c>
      <c r="B176" s="38" t="s">
        <v>143</v>
      </c>
      <c r="C176" s="37">
        <v>38.7302</v>
      </c>
      <c r="D176" s="39"/>
      <c r="E176" s="39"/>
      <c r="F176" s="39"/>
      <c r="G176" s="37">
        <f t="shared" si="82"/>
        <v>38.7302</v>
      </c>
      <c r="H176" s="38" t="s">
        <v>23</v>
      </c>
      <c r="I176" s="37">
        <v>150</v>
      </c>
      <c r="J176" s="37">
        <f t="shared" si="83"/>
        <v>2582.01333333333</v>
      </c>
      <c r="K176" s="50">
        <f t="shared" si="84"/>
        <v>0.00083654312316647</v>
      </c>
      <c r="L176" s="39"/>
    </row>
    <row r="177" s="16" customFormat="1" ht="30.5" customHeight="1" spans="1:12">
      <c r="A177" s="57">
        <v>11</v>
      </c>
      <c r="B177" s="31" t="s">
        <v>152</v>
      </c>
      <c r="C177" s="32">
        <f>SUM(C178:C183)</f>
        <v>1124.448098</v>
      </c>
      <c r="D177" s="32">
        <f>SUM(D178:D183)</f>
        <v>16.971402</v>
      </c>
      <c r="E177" s="32">
        <f t="shared" ref="C177:F177" si="85">SUM(E178:E182)</f>
        <v>101.835</v>
      </c>
      <c r="F177" s="32">
        <f t="shared" si="85"/>
        <v>0</v>
      </c>
      <c r="G177" s="32">
        <f t="shared" si="82"/>
        <v>1243.2545</v>
      </c>
      <c r="H177" s="31"/>
      <c r="I177" s="32"/>
      <c r="J177" s="32"/>
      <c r="K177" s="53"/>
      <c r="L177" s="40"/>
    </row>
    <row r="178" ht="30.5" hidden="1" customHeight="1" spans="1:12">
      <c r="A178" s="58">
        <v>11.1</v>
      </c>
      <c r="B178" s="38" t="s">
        <v>22</v>
      </c>
      <c r="C178" s="37">
        <v>683.4997</v>
      </c>
      <c r="D178" s="37"/>
      <c r="E178" s="37"/>
      <c r="F178" s="37"/>
      <c r="G178" s="37">
        <f t="shared" ref="G178:G183" si="86">C178+D178+E178+F178</f>
        <v>683.4997</v>
      </c>
      <c r="H178" s="38" t="s">
        <v>23</v>
      </c>
      <c r="I178" s="37">
        <v>14718.26</v>
      </c>
      <c r="J178" s="37">
        <f t="shared" ref="J178:J183" si="87">G178/I178*10000</f>
        <v>464.388929126133</v>
      </c>
      <c r="K178" s="50">
        <f t="shared" ref="K178:K183" si="88">G178/G$223</f>
        <v>0.0147630782624759</v>
      </c>
      <c r="L178" s="39"/>
    </row>
    <row r="179" ht="30.5" hidden="1" customHeight="1" spans="1:12">
      <c r="A179" s="58">
        <v>11.2</v>
      </c>
      <c r="B179" s="38" t="s">
        <v>25</v>
      </c>
      <c r="C179" s="37">
        <v>193.5397</v>
      </c>
      <c r="D179" s="37"/>
      <c r="E179" s="37"/>
      <c r="F179" s="37"/>
      <c r="G179" s="37">
        <f t="shared" si="86"/>
        <v>193.5397</v>
      </c>
      <c r="H179" s="38" t="s">
        <v>26</v>
      </c>
      <c r="I179" s="37">
        <v>540</v>
      </c>
      <c r="J179" s="37">
        <f t="shared" si="87"/>
        <v>3584.06851851852</v>
      </c>
      <c r="K179" s="50">
        <f t="shared" si="88"/>
        <v>0.00418031161973606</v>
      </c>
      <c r="L179" s="39"/>
    </row>
    <row r="180" ht="30.5" hidden="1" customHeight="1" spans="1:12">
      <c r="A180" s="58">
        <v>11.3</v>
      </c>
      <c r="B180" s="38" t="s">
        <v>28</v>
      </c>
      <c r="C180" s="37">
        <v>136.2536</v>
      </c>
      <c r="D180" s="37"/>
      <c r="E180" s="37"/>
      <c r="F180" s="37"/>
      <c r="G180" s="37">
        <f t="shared" si="86"/>
        <v>136.2536</v>
      </c>
      <c r="H180" s="38" t="s">
        <v>29</v>
      </c>
      <c r="I180" s="54">
        <f>592.345+1700.725+2466.75</f>
        <v>4759.82</v>
      </c>
      <c r="J180" s="37">
        <f t="shared" si="87"/>
        <v>286.257883701485</v>
      </c>
      <c r="K180" s="50">
        <f t="shared" si="88"/>
        <v>0.00294297504496943</v>
      </c>
      <c r="L180" s="39"/>
    </row>
    <row r="181" ht="30.5" hidden="1" customHeight="1" spans="1:12">
      <c r="A181" s="58">
        <v>11.4</v>
      </c>
      <c r="B181" s="38" t="s">
        <v>31</v>
      </c>
      <c r="C181" s="37">
        <v>26.2644</v>
      </c>
      <c r="D181" s="37"/>
      <c r="E181" s="37"/>
      <c r="F181" s="37"/>
      <c r="G181" s="37">
        <f t="shared" si="86"/>
        <v>26.2644</v>
      </c>
      <c r="H181" s="38" t="s">
        <v>26</v>
      </c>
      <c r="I181" s="37">
        <v>15</v>
      </c>
      <c r="J181" s="37">
        <f t="shared" si="87"/>
        <v>17509.6</v>
      </c>
      <c r="K181" s="50">
        <f t="shared" si="88"/>
        <v>0.000567291240533058</v>
      </c>
      <c r="L181" s="39"/>
    </row>
    <row r="182" ht="30.5" hidden="1" customHeight="1" spans="1:12">
      <c r="A182" s="58">
        <v>11.5</v>
      </c>
      <c r="B182" s="38" t="s">
        <v>153</v>
      </c>
      <c r="C182" s="37">
        <f>1582616/10000-D182-E182</f>
        <v>39.455198</v>
      </c>
      <c r="D182" s="37">
        <f>1188064.02/10000-E182</f>
        <v>16.971402</v>
      </c>
      <c r="E182" s="37">
        <f>1018350/10000</f>
        <v>101.835</v>
      </c>
      <c r="F182" s="37"/>
      <c r="G182" s="37">
        <f t="shared" si="86"/>
        <v>158.2616</v>
      </c>
      <c r="H182" s="38" t="s">
        <v>26</v>
      </c>
      <c r="I182" s="37">
        <v>1</v>
      </c>
      <c r="J182" s="37">
        <f t="shared" si="87"/>
        <v>1582616</v>
      </c>
      <c r="K182" s="50">
        <f t="shared" si="88"/>
        <v>0.00341833125419757</v>
      </c>
      <c r="L182" s="39"/>
    </row>
    <row r="183" customFormat="1" ht="30.5" hidden="1" customHeight="1" spans="1:12">
      <c r="A183" s="58">
        <v>11.6</v>
      </c>
      <c r="B183" s="38" t="s">
        <v>143</v>
      </c>
      <c r="C183" s="37">
        <v>45.4355</v>
      </c>
      <c r="D183" s="39"/>
      <c r="E183" s="39"/>
      <c r="F183" s="39"/>
      <c r="G183" s="37">
        <f t="shared" si="86"/>
        <v>45.4355</v>
      </c>
      <c r="H183" s="38" t="s">
        <v>23</v>
      </c>
      <c r="I183" s="37">
        <v>150</v>
      </c>
      <c r="J183" s="37">
        <f t="shared" si="87"/>
        <v>3029.03333333333</v>
      </c>
      <c r="K183" s="50">
        <f t="shared" si="88"/>
        <v>0.000981372548363555</v>
      </c>
      <c r="L183" s="39"/>
    </row>
    <row r="184" s="16" customFormat="1" ht="30.5" customHeight="1" spans="1:12">
      <c r="A184" s="57">
        <v>12</v>
      </c>
      <c r="B184" s="31" t="s">
        <v>119</v>
      </c>
      <c r="C184" s="32">
        <f t="shared" ref="C184:F184" si="89">SUM(C185:C194)</f>
        <v>3724.98289</v>
      </c>
      <c r="D184" s="32">
        <f t="shared" si="89"/>
        <v>476.86261</v>
      </c>
      <c r="E184" s="32">
        <f t="shared" si="89"/>
        <v>577.179</v>
      </c>
      <c r="F184" s="32">
        <f t="shared" si="89"/>
        <v>0</v>
      </c>
      <c r="G184" s="32">
        <f t="shared" ref="G184:G199" si="90">C184+D184+E184+F184</f>
        <v>4779.0245</v>
      </c>
      <c r="H184" s="31"/>
      <c r="I184" s="32"/>
      <c r="J184" s="32"/>
      <c r="K184" s="53"/>
      <c r="L184" s="40"/>
    </row>
    <row r="185" ht="30.5" hidden="1" customHeight="1" spans="1:12">
      <c r="A185" s="58">
        <v>12.1</v>
      </c>
      <c r="B185" s="38" t="s">
        <v>22</v>
      </c>
      <c r="C185" s="37">
        <v>2230.2012</v>
      </c>
      <c r="D185" s="37"/>
      <c r="E185" s="37"/>
      <c r="F185" s="37"/>
      <c r="G185" s="37">
        <f t="shared" si="90"/>
        <v>2230.2012</v>
      </c>
      <c r="H185" s="38" t="s">
        <v>23</v>
      </c>
      <c r="I185" s="37">
        <v>22168.27</v>
      </c>
      <c r="J185" s="37">
        <f t="shared" ref="J185:J194" si="91">G185/I185*10000</f>
        <v>1006.03303730963</v>
      </c>
      <c r="K185" s="50">
        <f t="shared" ref="K185:K194" si="92">G185/G$223</f>
        <v>0.0481706646786644</v>
      </c>
      <c r="L185" s="39"/>
    </row>
    <row r="186" ht="30.5" hidden="1" customHeight="1" spans="1:12">
      <c r="A186" s="58">
        <v>12.2</v>
      </c>
      <c r="B186" s="38" t="s">
        <v>25</v>
      </c>
      <c r="C186" s="37">
        <v>198.269</v>
      </c>
      <c r="D186" s="37"/>
      <c r="E186" s="37"/>
      <c r="F186" s="37"/>
      <c r="G186" s="37">
        <f t="shared" si="90"/>
        <v>198.269</v>
      </c>
      <c r="H186" s="38" t="s">
        <v>26</v>
      </c>
      <c r="I186" s="37">
        <v>495</v>
      </c>
      <c r="J186" s="37">
        <f t="shared" si="91"/>
        <v>4005.43434343434</v>
      </c>
      <c r="K186" s="50">
        <f t="shared" si="92"/>
        <v>0.00428246093454443</v>
      </c>
      <c r="L186" s="39"/>
    </row>
    <row r="187" ht="30.5" hidden="1" customHeight="1" spans="1:12">
      <c r="A187" s="58">
        <v>12.3</v>
      </c>
      <c r="B187" s="38" t="s">
        <v>28</v>
      </c>
      <c r="C187" s="37">
        <v>457.814</v>
      </c>
      <c r="D187" s="37"/>
      <c r="E187" s="37"/>
      <c r="F187" s="37"/>
      <c r="G187" s="37">
        <f t="shared" si="90"/>
        <v>457.814</v>
      </c>
      <c r="H187" s="38" t="s">
        <v>29</v>
      </c>
      <c r="I187" s="54">
        <f>2877.4+6719.521+1375</f>
        <v>10971.921</v>
      </c>
      <c r="J187" s="37">
        <f t="shared" si="91"/>
        <v>417.25965762969</v>
      </c>
      <c r="K187" s="50">
        <f t="shared" si="92"/>
        <v>0.00988843727606195</v>
      </c>
      <c r="L187" s="39"/>
    </row>
    <row r="188" ht="30.5" hidden="1" customHeight="1" spans="1:12">
      <c r="A188" s="58">
        <v>12.4</v>
      </c>
      <c r="B188" s="38" t="s">
        <v>31</v>
      </c>
      <c r="C188" s="37">
        <v>20.1069</v>
      </c>
      <c r="D188" s="37"/>
      <c r="E188" s="37"/>
      <c r="F188" s="37"/>
      <c r="G188" s="37">
        <f t="shared" si="90"/>
        <v>20.1069</v>
      </c>
      <c r="H188" s="38" t="s">
        <v>26</v>
      </c>
      <c r="I188" s="37">
        <v>16</v>
      </c>
      <c r="J188" s="37">
        <f t="shared" si="91"/>
        <v>12566.8125</v>
      </c>
      <c r="K188" s="50">
        <f t="shared" si="92"/>
        <v>0.000434293882375921</v>
      </c>
      <c r="L188" s="39"/>
    </row>
    <row r="189" ht="30.5" hidden="1" customHeight="1" spans="1:12">
      <c r="A189" s="58">
        <v>12.5</v>
      </c>
      <c r="B189" s="38" t="s">
        <v>154</v>
      </c>
      <c r="C189" s="37">
        <v>62.6566</v>
      </c>
      <c r="D189" s="37"/>
      <c r="E189" s="37"/>
      <c r="F189" s="37"/>
      <c r="G189" s="37">
        <f t="shared" si="90"/>
        <v>62.6566</v>
      </c>
      <c r="H189" s="38" t="s">
        <v>23</v>
      </c>
      <c r="I189" s="37">
        <v>357</v>
      </c>
      <c r="J189" s="37">
        <f t="shared" si="91"/>
        <v>1755.08683473389</v>
      </c>
      <c r="K189" s="50">
        <f t="shared" si="92"/>
        <v>0.00135333532620519</v>
      </c>
      <c r="L189" s="39"/>
    </row>
    <row r="190" ht="30.5" hidden="1" customHeight="1" spans="1:12">
      <c r="A190" s="58">
        <v>12.6</v>
      </c>
      <c r="B190" s="38" t="s">
        <v>78</v>
      </c>
      <c r="C190" s="37">
        <f>716829/10000-D190-E190</f>
        <v>12.120016</v>
      </c>
      <c r="D190" s="37">
        <f>595628.84/10000-E190</f>
        <v>13.962884</v>
      </c>
      <c r="E190" s="37">
        <v>45.6</v>
      </c>
      <c r="F190" s="37"/>
      <c r="G190" s="37">
        <f t="shared" si="90"/>
        <v>71.6829</v>
      </c>
      <c r="H190" s="38" t="s">
        <v>26</v>
      </c>
      <c r="I190" s="37">
        <v>2</v>
      </c>
      <c r="J190" s="37">
        <f t="shared" si="91"/>
        <v>358414.5</v>
      </c>
      <c r="K190" s="50">
        <f t="shared" si="92"/>
        <v>0.00154829660171209</v>
      </c>
      <c r="L190" s="39"/>
    </row>
    <row r="191" ht="30.5" hidden="1" customHeight="1" spans="1:12">
      <c r="A191" s="58">
        <v>12.7</v>
      </c>
      <c r="B191" s="38" t="s">
        <v>155</v>
      </c>
      <c r="C191" s="37">
        <f>523694/10000-D191-E191</f>
        <v>6.564958</v>
      </c>
      <c r="D191" s="37">
        <f>458044.42/10000-E191</f>
        <v>8.304442</v>
      </c>
      <c r="E191" s="37">
        <v>37.5</v>
      </c>
      <c r="F191" s="37"/>
      <c r="G191" s="37">
        <f t="shared" si="90"/>
        <v>52.3694</v>
      </c>
      <c r="H191" s="38" t="s">
        <v>26</v>
      </c>
      <c r="I191" s="37">
        <v>1</v>
      </c>
      <c r="J191" s="37">
        <f t="shared" si="91"/>
        <v>523694</v>
      </c>
      <c r="K191" s="50">
        <f t="shared" si="92"/>
        <v>0.0011311395612301</v>
      </c>
      <c r="L191" s="39"/>
    </row>
    <row r="192" ht="30.5" hidden="1" customHeight="1" spans="1:12">
      <c r="A192" s="58">
        <v>12.8</v>
      </c>
      <c r="B192" s="38" t="s">
        <v>156</v>
      </c>
      <c r="C192" s="37">
        <f>1234237/10000-D192-E192</f>
        <v>6.76925799999999</v>
      </c>
      <c r="D192" s="37">
        <f>1166544.42/10000-E192</f>
        <v>14.154442</v>
      </c>
      <c r="E192" s="37">
        <v>102.5</v>
      </c>
      <c r="F192" s="37"/>
      <c r="G192" s="37">
        <f t="shared" si="90"/>
        <v>123.4237</v>
      </c>
      <c r="H192" s="38" t="s">
        <v>26</v>
      </c>
      <c r="I192" s="37">
        <v>1</v>
      </c>
      <c r="J192" s="37">
        <f t="shared" si="91"/>
        <v>1234237</v>
      </c>
      <c r="K192" s="50">
        <f t="shared" si="92"/>
        <v>0.00266585887681348</v>
      </c>
      <c r="L192" s="39"/>
    </row>
    <row r="193" ht="30.5" hidden="1" customHeight="1" spans="1:12">
      <c r="A193" s="58">
        <v>12.9</v>
      </c>
      <c r="B193" s="38" t="s">
        <v>157</v>
      </c>
      <c r="C193" s="37">
        <f>1835466/10000-D193-E193</f>
        <v>6.94215800000001</v>
      </c>
      <c r="D193" s="37">
        <f>1766044.42/10000-E193</f>
        <v>19.104442</v>
      </c>
      <c r="E193" s="37">
        <v>157.5</v>
      </c>
      <c r="F193" s="37"/>
      <c r="G193" s="37">
        <f t="shared" si="90"/>
        <v>183.5466</v>
      </c>
      <c r="H193" s="38" t="s">
        <v>26</v>
      </c>
      <c r="I193" s="37">
        <v>1</v>
      </c>
      <c r="J193" s="37">
        <f t="shared" si="91"/>
        <v>1835466</v>
      </c>
      <c r="K193" s="50">
        <f t="shared" si="92"/>
        <v>0.00396446819305314</v>
      </c>
      <c r="L193" s="39"/>
    </row>
    <row r="194" customFormat="1" ht="30.5" hidden="1" customHeight="1" spans="1:12">
      <c r="A194" s="37">
        <v>12.1</v>
      </c>
      <c r="B194" s="38" t="s">
        <v>158</v>
      </c>
      <c r="C194" s="37">
        <f>13789542/10000-D194-E194</f>
        <v>723.5388</v>
      </c>
      <c r="D194" s="37">
        <f>6554154/10000-E194</f>
        <v>421.3364</v>
      </c>
      <c r="E194" s="37">
        <v>234.079</v>
      </c>
      <c r="F194" s="37"/>
      <c r="G194" s="37">
        <f t="shared" si="90"/>
        <v>1378.9542</v>
      </c>
      <c r="H194" s="38" t="s">
        <v>26</v>
      </c>
      <c r="I194" s="37">
        <v>1</v>
      </c>
      <c r="J194" s="37">
        <f t="shared" si="91"/>
        <v>13789542</v>
      </c>
      <c r="K194" s="50">
        <f>G194/G$221</f>
        <v>0.696916685618983</v>
      </c>
      <c r="L194" s="39"/>
    </row>
    <row r="195" s="16" customFormat="1" ht="30.5" customHeight="1" spans="1:12">
      <c r="A195" s="57">
        <v>13</v>
      </c>
      <c r="B195" s="31" t="s">
        <v>159</v>
      </c>
      <c r="C195" s="32">
        <f>SUM(C196:C199)</f>
        <v>824.7276</v>
      </c>
      <c r="D195" s="32">
        <f t="shared" ref="C195:F195" si="93">SUM(D196:D199)</f>
        <v>0</v>
      </c>
      <c r="E195" s="32">
        <f t="shared" si="93"/>
        <v>0</v>
      </c>
      <c r="F195" s="32">
        <f t="shared" si="93"/>
        <v>0</v>
      </c>
      <c r="G195" s="32">
        <f t="shared" si="90"/>
        <v>824.7276</v>
      </c>
      <c r="H195" s="31"/>
      <c r="I195" s="32"/>
      <c r="J195" s="32"/>
      <c r="K195" s="53"/>
      <c r="L195" s="40"/>
    </row>
    <row r="196" ht="30.5" hidden="1" customHeight="1" spans="1:12">
      <c r="A196" s="58">
        <v>13.1</v>
      </c>
      <c r="B196" s="38" t="s">
        <v>22</v>
      </c>
      <c r="C196" s="37">
        <v>341.6419</v>
      </c>
      <c r="D196" s="37"/>
      <c r="E196" s="37"/>
      <c r="F196" s="37"/>
      <c r="G196" s="37">
        <f t="shared" si="90"/>
        <v>341.6419</v>
      </c>
      <c r="H196" s="38" t="s">
        <v>23</v>
      </c>
      <c r="I196" s="37">
        <v>8899.68</v>
      </c>
      <c r="J196" s="37">
        <f t="shared" ref="J196:J199" si="94">G196/I196*10000</f>
        <v>383.881105837513</v>
      </c>
      <c r="K196" s="50">
        <f t="shared" ref="K196:K199" si="95">G196/G$223</f>
        <v>0.00737920749261628</v>
      </c>
      <c r="L196" s="39"/>
    </row>
    <row r="197" ht="30.5" hidden="1" customHeight="1" spans="1:12">
      <c r="A197" s="58">
        <v>13.2</v>
      </c>
      <c r="B197" s="38" t="s">
        <v>25</v>
      </c>
      <c r="C197" s="37">
        <v>86.7376</v>
      </c>
      <c r="D197" s="37"/>
      <c r="E197" s="37"/>
      <c r="F197" s="37"/>
      <c r="G197" s="37">
        <f t="shared" si="90"/>
        <v>86.7376</v>
      </c>
      <c r="H197" s="38" t="s">
        <v>26</v>
      </c>
      <c r="I197" s="37">
        <v>237</v>
      </c>
      <c r="J197" s="37">
        <f t="shared" si="94"/>
        <v>3659.81434599156</v>
      </c>
      <c r="K197" s="50">
        <f t="shared" si="95"/>
        <v>0.00187346677269841</v>
      </c>
      <c r="L197" s="39"/>
    </row>
    <row r="198" ht="30.5" hidden="1" customHeight="1" spans="1:12">
      <c r="A198" s="58">
        <v>13.3</v>
      </c>
      <c r="B198" s="38" t="s">
        <v>28</v>
      </c>
      <c r="C198" s="37">
        <v>279.2214</v>
      </c>
      <c r="D198" s="37"/>
      <c r="E198" s="37"/>
      <c r="F198" s="37"/>
      <c r="G198" s="37">
        <f t="shared" si="90"/>
        <v>279.2214</v>
      </c>
      <c r="H198" s="38" t="s">
        <v>29</v>
      </c>
      <c r="I198" s="54">
        <f>3726.689+1695.612+1000</f>
        <v>6422.301</v>
      </c>
      <c r="J198" s="37">
        <f t="shared" si="94"/>
        <v>434.768473168729</v>
      </c>
      <c r="K198" s="50">
        <f t="shared" si="95"/>
        <v>0.00603097174842666</v>
      </c>
      <c r="L198" s="39"/>
    </row>
    <row r="199" ht="30.5" hidden="1" customHeight="1" spans="1:12">
      <c r="A199" s="58">
        <v>13.4</v>
      </c>
      <c r="B199" s="38" t="s">
        <v>31</v>
      </c>
      <c r="C199" s="37">
        <v>117.1267</v>
      </c>
      <c r="D199" s="37"/>
      <c r="E199" s="37"/>
      <c r="F199" s="37"/>
      <c r="G199" s="37">
        <f t="shared" si="90"/>
        <v>117.1267</v>
      </c>
      <c r="H199" s="38" t="s">
        <v>26</v>
      </c>
      <c r="I199" s="37">
        <v>53</v>
      </c>
      <c r="J199" s="37">
        <f t="shared" si="94"/>
        <v>22099.3773584906</v>
      </c>
      <c r="K199" s="50">
        <f t="shared" si="95"/>
        <v>0.00252984842381868</v>
      </c>
      <c r="L199" s="39"/>
    </row>
    <row r="200" s="16" customFormat="1" ht="30.5" customHeight="1" spans="1:12">
      <c r="A200" s="30" t="s">
        <v>160</v>
      </c>
      <c r="B200" s="31" t="s">
        <v>161</v>
      </c>
      <c r="C200" s="40"/>
      <c r="D200" s="40"/>
      <c r="E200" s="40"/>
      <c r="F200" s="32">
        <f>SUM(F201:F218)</f>
        <v>2539.22473225</v>
      </c>
      <c r="G200" s="32">
        <f t="shared" ref="G200:G222" si="96">F200</f>
        <v>2539.22473225</v>
      </c>
      <c r="H200" s="31"/>
      <c r="I200" s="32"/>
      <c r="J200" s="32"/>
      <c r="K200" s="66"/>
      <c r="L200" s="40"/>
    </row>
    <row r="201" ht="30.5" customHeight="1" spans="1:12">
      <c r="A201" s="61">
        <v>1</v>
      </c>
      <c r="B201" s="62" t="s">
        <v>162</v>
      </c>
      <c r="C201" s="39"/>
      <c r="D201" s="39"/>
      <c r="E201" s="39"/>
      <c r="F201" s="37">
        <v>180.23</v>
      </c>
      <c r="G201" s="37">
        <f t="shared" si="96"/>
        <v>180.23</v>
      </c>
      <c r="H201" s="39"/>
      <c r="I201" s="39"/>
      <c r="J201" s="39"/>
      <c r="K201" s="50">
        <f>G201/G$223</f>
        <v>0.00389283213327824</v>
      </c>
      <c r="L201" s="37"/>
    </row>
    <row r="202" ht="30.5" customHeight="1" spans="1:12">
      <c r="A202" s="61">
        <v>2</v>
      </c>
      <c r="B202" s="38" t="s">
        <v>163</v>
      </c>
      <c r="C202" s="63"/>
      <c r="D202" s="39"/>
      <c r="E202" s="39"/>
      <c r="F202" s="37">
        <v>921.725</v>
      </c>
      <c r="G202" s="37">
        <f t="shared" si="96"/>
        <v>921.725</v>
      </c>
      <c r="H202" s="39"/>
      <c r="I202" s="39"/>
      <c r="J202" s="39"/>
      <c r="K202" s="50">
        <f>G202/G$223</f>
        <v>0.0199085651558891</v>
      </c>
      <c r="L202" s="37"/>
    </row>
    <row r="203" ht="30.5" customHeight="1" spans="1:12">
      <c r="A203" s="61">
        <v>3</v>
      </c>
      <c r="B203" s="38" t="s">
        <v>164</v>
      </c>
      <c r="C203" s="39"/>
      <c r="D203" s="39"/>
      <c r="E203" s="39"/>
      <c r="F203" s="37">
        <v>171.78</v>
      </c>
      <c r="G203" s="37">
        <f t="shared" si="96"/>
        <v>171.78</v>
      </c>
      <c r="H203" s="39"/>
      <c r="I203" s="39"/>
      <c r="J203" s="39"/>
      <c r="K203" s="50">
        <f>G203/G$223</f>
        <v>0.00371031850332651</v>
      </c>
      <c r="L203" s="37"/>
    </row>
    <row r="204" ht="30.5" customHeight="1" spans="1:12">
      <c r="A204" s="61">
        <v>4</v>
      </c>
      <c r="B204" s="38" t="s">
        <v>165</v>
      </c>
      <c r="C204" s="39"/>
      <c r="D204" s="39"/>
      <c r="E204" s="39"/>
      <c r="F204" s="37">
        <v>396.38</v>
      </c>
      <c r="G204" s="37">
        <f t="shared" si="96"/>
        <v>396.38</v>
      </c>
      <c r="H204" s="39"/>
      <c r="I204" s="39"/>
      <c r="J204" s="39"/>
      <c r="K204" s="50">
        <f>G204/G$223</f>
        <v>0.00856150918819746</v>
      </c>
      <c r="L204" s="37"/>
    </row>
    <row r="205" customFormat="1" ht="30.5" customHeight="1" spans="1:12">
      <c r="A205" s="61">
        <v>5</v>
      </c>
      <c r="B205" s="38" t="s">
        <v>166</v>
      </c>
      <c r="C205" s="39"/>
      <c r="D205" s="39"/>
      <c r="E205" s="39"/>
      <c r="F205" s="37">
        <f>G5*0.3/100*0.7</f>
        <v>83.1970923</v>
      </c>
      <c r="G205" s="37">
        <f t="shared" si="96"/>
        <v>83.1970923</v>
      </c>
      <c r="H205" s="39"/>
      <c r="I205" s="39"/>
      <c r="J205" s="39"/>
      <c r="K205" s="50">
        <f t="shared" ref="K205:K218" si="97">G205/G$223</f>
        <v>0.00179699447539675</v>
      </c>
      <c r="L205" s="37"/>
    </row>
    <row r="206" customFormat="1" ht="30.5" customHeight="1" spans="1:12">
      <c r="A206" s="61">
        <v>6</v>
      </c>
      <c r="B206" s="38" t="s">
        <v>167</v>
      </c>
      <c r="C206" s="39"/>
      <c r="D206" s="39"/>
      <c r="E206" s="39"/>
      <c r="F206" s="37">
        <v>21.3</v>
      </c>
      <c r="G206" s="37">
        <f t="shared" si="96"/>
        <v>21.3</v>
      </c>
      <c r="H206" s="39"/>
      <c r="I206" s="39"/>
      <c r="J206" s="39"/>
      <c r="K206" s="50">
        <f t="shared" si="97"/>
        <v>0.00046006394295526</v>
      </c>
      <c r="L206" s="37"/>
    </row>
    <row r="207" ht="30.5" customHeight="1" spans="1:12">
      <c r="A207" s="61">
        <v>7</v>
      </c>
      <c r="B207" s="38" t="s">
        <v>168</v>
      </c>
      <c r="C207" s="39"/>
      <c r="D207" s="39"/>
      <c r="E207" s="39"/>
      <c r="F207" s="37">
        <v>38.57</v>
      </c>
      <c r="G207" s="37">
        <f t="shared" si="96"/>
        <v>38.57</v>
      </c>
      <c r="H207" s="39"/>
      <c r="I207" s="39"/>
      <c r="J207" s="39"/>
      <c r="K207" s="50">
        <f t="shared" si="97"/>
        <v>0.000833082923933539</v>
      </c>
      <c r="L207" s="37"/>
    </row>
    <row r="208" customFormat="1" ht="30.5" customHeight="1" spans="1:12">
      <c r="A208" s="61">
        <v>8</v>
      </c>
      <c r="B208" s="38" t="s">
        <v>169</v>
      </c>
      <c r="C208" s="39"/>
      <c r="D208" s="39"/>
      <c r="E208" s="39"/>
      <c r="F208" s="37">
        <v>22.52</v>
      </c>
      <c r="G208" s="37">
        <f t="shared" si="96"/>
        <v>22.52</v>
      </c>
      <c r="H208" s="39"/>
      <c r="I208" s="39"/>
      <c r="J208" s="39"/>
      <c r="K208" s="50">
        <f t="shared" si="97"/>
        <v>0.000486415023255984</v>
      </c>
      <c r="L208" s="37"/>
    </row>
    <row r="209" customFormat="1" ht="30.5" customHeight="1" spans="1:12">
      <c r="A209" s="61">
        <v>9</v>
      </c>
      <c r="B209" s="38" t="s">
        <v>170</v>
      </c>
      <c r="C209" s="39"/>
      <c r="D209" s="39"/>
      <c r="E209" s="39"/>
      <c r="F209" s="37">
        <v>14.4</v>
      </c>
      <c r="G209" s="37">
        <f t="shared" si="96"/>
        <v>14.4</v>
      </c>
      <c r="H209" s="39"/>
      <c r="I209" s="39"/>
      <c r="J209" s="39"/>
      <c r="K209" s="50">
        <f t="shared" si="97"/>
        <v>0.000311029144533134</v>
      </c>
      <c r="L209" s="37"/>
    </row>
    <row r="210" customFormat="1" ht="30.5" customHeight="1" spans="1:12">
      <c r="A210" s="61">
        <v>10</v>
      </c>
      <c r="B210" s="38" t="s">
        <v>171</v>
      </c>
      <c r="C210" s="39"/>
      <c r="D210" s="39"/>
      <c r="E210" s="39"/>
      <c r="F210" s="37">
        <f>2*2</f>
        <v>4</v>
      </c>
      <c r="G210" s="37">
        <f t="shared" si="96"/>
        <v>4</v>
      </c>
      <c r="H210" s="39"/>
      <c r="I210" s="39"/>
      <c r="J210" s="39"/>
      <c r="K210" s="50">
        <f t="shared" si="97"/>
        <v>8.63969845925371e-5</v>
      </c>
      <c r="L210" s="37"/>
    </row>
    <row r="211" customFormat="1" ht="30.5" customHeight="1" spans="1:12">
      <c r="A211" s="61">
        <v>11</v>
      </c>
      <c r="B211" s="38" t="s">
        <v>172</v>
      </c>
      <c r="C211" s="39"/>
      <c r="D211" s="39"/>
      <c r="E211" s="39"/>
      <c r="F211" s="37">
        <v>3.8</v>
      </c>
      <c r="G211" s="37">
        <f t="shared" si="96"/>
        <v>3.8</v>
      </c>
      <c r="H211" s="39"/>
      <c r="I211" s="39"/>
      <c r="J211" s="39"/>
      <c r="K211" s="50">
        <f t="shared" si="97"/>
        <v>8.20771353629102e-5</v>
      </c>
      <c r="L211" s="37"/>
    </row>
    <row r="212" ht="30.5" customHeight="1" spans="1:12">
      <c r="A212" s="61">
        <v>12</v>
      </c>
      <c r="B212" s="38" t="s">
        <v>173</v>
      </c>
      <c r="C212" s="39"/>
      <c r="D212" s="39"/>
      <c r="E212" s="39"/>
      <c r="F212" s="37">
        <v>406.83</v>
      </c>
      <c r="G212" s="37">
        <f t="shared" si="96"/>
        <v>406.83</v>
      </c>
      <c r="H212" s="39"/>
      <c r="I212" s="39"/>
      <c r="J212" s="39"/>
      <c r="K212" s="50">
        <f t="shared" si="97"/>
        <v>0.00878722131044547</v>
      </c>
      <c r="L212" s="37"/>
    </row>
    <row r="213" customFormat="1" ht="30.5" customHeight="1" spans="1:12">
      <c r="A213" s="61">
        <v>13</v>
      </c>
      <c r="B213" s="38" t="s">
        <v>174</v>
      </c>
      <c r="C213" s="39"/>
      <c r="D213" s="39"/>
      <c r="E213" s="39"/>
      <c r="F213" s="37">
        <f>G5*0.3/100*0.5</f>
        <v>59.4264945</v>
      </c>
      <c r="G213" s="37">
        <f t="shared" si="96"/>
        <v>59.4264945</v>
      </c>
      <c r="H213" s="39"/>
      <c r="I213" s="39"/>
      <c r="J213" s="39"/>
      <c r="K213" s="50">
        <f t="shared" si="97"/>
        <v>0.00128356748242625</v>
      </c>
      <c r="L213" s="37"/>
    </row>
    <row r="214" customFormat="1" ht="30.5" customHeight="1" spans="1:12">
      <c r="A214" s="61">
        <v>14</v>
      </c>
      <c r="B214" s="38" t="s">
        <v>175</v>
      </c>
      <c r="C214" s="39"/>
      <c r="D214" s="39"/>
      <c r="E214" s="39"/>
      <c r="F214" s="37">
        <f>G5*0.15/100</f>
        <v>59.4264945</v>
      </c>
      <c r="G214" s="37">
        <f t="shared" si="96"/>
        <v>59.4264945</v>
      </c>
      <c r="H214" s="39"/>
      <c r="I214" s="39"/>
      <c r="J214" s="39"/>
      <c r="K214" s="50">
        <f t="shared" si="97"/>
        <v>0.00128356748242625</v>
      </c>
      <c r="L214" s="37"/>
    </row>
    <row r="215" customFormat="1" ht="30.5" customHeight="1" spans="1:12">
      <c r="A215" s="61">
        <v>15</v>
      </c>
      <c r="B215" s="38" t="s">
        <v>176</v>
      </c>
      <c r="C215" s="39"/>
      <c r="D215" s="39"/>
      <c r="E215" s="39"/>
      <c r="F215" s="37">
        <f>E5*1/100</f>
        <v>12.152844</v>
      </c>
      <c r="G215" s="37">
        <f t="shared" si="96"/>
        <v>12.152844</v>
      </c>
      <c r="H215" s="39"/>
      <c r="I215" s="39"/>
      <c r="J215" s="39"/>
      <c r="K215" s="50">
        <f t="shared" si="97"/>
        <v>0.000262492268955877</v>
      </c>
      <c r="L215" s="37"/>
    </row>
    <row r="216" customFormat="1" ht="30.5" customHeight="1" spans="1:12">
      <c r="A216" s="61">
        <v>16</v>
      </c>
      <c r="B216" s="38" t="s">
        <v>177</v>
      </c>
      <c r="C216" s="39"/>
      <c r="D216" s="39"/>
      <c r="E216" s="39"/>
      <c r="F216" s="37">
        <f>G5*0.3/100*0.8</f>
        <v>95.0823912</v>
      </c>
      <c r="G216" s="37">
        <f t="shared" si="96"/>
        <v>95.0823912</v>
      </c>
      <c r="H216" s="39"/>
      <c r="I216" s="39"/>
      <c r="J216" s="39"/>
      <c r="K216" s="50">
        <f t="shared" si="97"/>
        <v>0.002053707971882</v>
      </c>
      <c r="L216" s="37"/>
    </row>
    <row r="217" customFormat="1" ht="30.5" customHeight="1" spans="1:12">
      <c r="A217" s="61">
        <v>17</v>
      </c>
      <c r="B217" s="38" t="s">
        <v>178</v>
      </c>
      <c r="C217" s="39"/>
      <c r="D217" s="39"/>
      <c r="E217" s="39"/>
      <c r="F217" s="37">
        <f>6+(G5-10000)*0.025/100</f>
        <v>13.40441575</v>
      </c>
      <c r="G217" s="37">
        <f t="shared" si="96"/>
        <v>13.40441575</v>
      </c>
      <c r="H217" s="39"/>
      <c r="I217" s="39"/>
      <c r="J217" s="39"/>
      <c r="K217" s="50">
        <f t="shared" si="97"/>
        <v>0.000289525275256178</v>
      </c>
      <c r="L217" s="37"/>
    </row>
    <row r="218" customFormat="1" ht="30.5" customHeight="1" spans="1:12">
      <c r="A218" s="61">
        <v>18</v>
      </c>
      <c r="B218" s="38" t="s">
        <v>179</v>
      </c>
      <c r="C218" s="39"/>
      <c r="D218" s="39"/>
      <c r="E218" s="39"/>
      <c r="F218" s="37">
        <v>35</v>
      </c>
      <c r="G218" s="37">
        <f t="shared" si="96"/>
        <v>35</v>
      </c>
      <c r="H218" s="39"/>
      <c r="I218" s="39"/>
      <c r="J218" s="39"/>
      <c r="K218" s="50">
        <f t="shared" si="97"/>
        <v>0.0007559736151847</v>
      </c>
      <c r="L218" s="37"/>
    </row>
    <row r="219" s="16" customFormat="1" ht="25.75" customHeight="1" spans="1:12">
      <c r="A219" s="30" t="s">
        <v>180</v>
      </c>
      <c r="B219" s="31" t="s">
        <v>181</v>
      </c>
      <c r="C219" s="40"/>
      <c r="D219" s="40"/>
      <c r="E219" s="40"/>
      <c r="F219" s="32">
        <f>F220</f>
        <v>2107.8443866125</v>
      </c>
      <c r="G219" s="32">
        <f t="shared" si="96"/>
        <v>2107.8443866125</v>
      </c>
      <c r="H219" s="31"/>
      <c r="I219" s="32"/>
      <c r="J219" s="32"/>
      <c r="K219" s="66"/>
      <c r="L219" s="40"/>
    </row>
    <row r="220" ht="25.5" customHeight="1" spans="1:12">
      <c r="A220" s="61">
        <v>1</v>
      </c>
      <c r="B220" s="38" t="s">
        <v>182</v>
      </c>
      <c r="C220" s="39"/>
      <c r="D220" s="39"/>
      <c r="E220" s="39"/>
      <c r="F220" s="37">
        <f>(G5+G200)*5/100</f>
        <v>2107.8443866125</v>
      </c>
      <c r="G220" s="37">
        <f t="shared" si="96"/>
        <v>2107.8443866125</v>
      </c>
      <c r="H220" s="39"/>
      <c r="I220" s="39"/>
      <c r="J220" s="39"/>
      <c r="K220" s="50">
        <f t="shared" ref="K220:K222" si="98">G220/G$223</f>
        <v>0.0455278497484065</v>
      </c>
      <c r="L220" s="37"/>
    </row>
    <row r="221" s="16" customFormat="1" ht="25.75" customHeight="1" spans="1:12">
      <c r="A221" s="30" t="s">
        <v>183</v>
      </c>
      <c r="B221" s="31" t="s">
        <v>184</v>
      </c>
      <c r="C221" s="40"/>
      <c r="D221" s="40"/>
      <c r="E221" s="40"/>
      <c r="F221" s="32">
        <f>710.08+1268.57</f>
        <v>1978.65</v>
      </c>
      <c r="G221" s="32">
        <f t="shared" si="96"/>
        <v>1978.65</v>
      </c>
      <c r="H221" s="31"/>
      <c r="I221" s="32"/>
      <c r="J221" s="32"/>
      <c r="K221" s="50">
        <f t="shared" si="98"/>
        <v>0.0427373483910059</v>
      </c>
      <c r="L221" s="40"/>
    </row>
    <row r="222" s="16" customFormat="1" ht="25.75" customHeight="1" spans="1:12">
      <c r="A222" s="30" t="s">
        <v>185</v>
      </c>
      <c r="B222" s="31" t="s">
        <v>186</v>
      </c>
      <c r="C222" s="40"/>
      <c r="D222" s="40"/>
      <c r="E222" s="40"/>
      <c r="F222" s="32">
        <f>19.57+34.96</f>
        <v>54.53</v>
      </c>
      <c r="G222" s="32">
        <f t="shared" si="96"/>
        <v>54.53</v>
      </c>
      <c r="H222" s="31"/>
      <c r="I222" s="32"/>
      <c r="J222" s="32"/>
      <c r="K222" s="50">
        <f t="shared" si="98"/>
        <v>0.00117780689245776</v>
      </c>
      <c r="L222" s="40"/>
    </row>
    <row r="223" s="18" customFormat="1" ht="25.75" customHeight="1" spans="1:12">
      <c r="A223" s="30" t="s">
        <v>187</v>
      </c>
      <c r="B223" s="29" t="s">
        <v>188</v>
      </c>
      <c r="C223" s="64"/>
      <c r="D223" s="64"/>
      <c r="E223" s="64"/>
      <c r="F223" s="64"/>
      <c r="G223" s="65">
        <f>G5+G200+G219+G221+G222</f>
        <v>46297.9121188625</v>
      </c>
      <c r="H223" s="30"/>
      <c r="I223" s="32"/>
      <c r="J223" s="67"/>
      <c r="K223" s="66"/>
      <c r="L223" s="64"/>
    </row>
  </sheetData>
  <mergeCells count="10">
    <mergeCell ref="A1:L1"/>
    <mergeCell ref="A2:L2"/>
    <mergeCell ref="C3:G3"/>
    <mergeCell ref="H3:J3"/>
    <mergeCell ref="A6:L6"/>
    <mergeCell ref="A112:L112"/>
    <mergeCell ref="A3:A4"/>
    <mergeCell ref="B3:B4"/>
    <mergeCell ref="K3:K4"/>
    <mergeCell ref="L3:L4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zoomScaleSheetLayoutView="60" workbookViewId="0">
      <selection activeCell="D5" sqref="D5"/>
    </sheetView>
  </sheetViews>
  <sheetFormatPr defaultColWidth="12" defaultRowHeight="14.25" outlineLevelCol="4"/>
  <cols>
    <col min="1" max="1" width="8.5" style="1" customWidth="1"/>
    <col min="2" max="2" width="26.1666666666667" style="1" customWidth="1"/>
    <col min="3" max="3" width="28.8333333333333" style="1" customWidth="1"/>
    <col min="4" max="4" width="21.5" style="1" customWidth="1"/>
    <col min="5" max="5" width="26.8333333333333" style="2" customWidth="1"/>
    <col min="6" max="16384" width="12" style="1"/>
  </cols>
  <sheetData>
    <row r="1" ht="29" customHeight="1" spans="1:5">
      <c r="A1" s="3" t="s">
        <v>189</v>
      </c>
      <c r="B1" s="3"/>
      <c r="C1" s="3"/>
      <c r="D1" s="3"/>
      <c r="E1" s="4"/>
    </row>
    <row r="2" ht="19.5" customHeight="1" spans="1:5">
      <c r="A2" s="5" t="s">
        <v>1</v>
      </c>
      <c r="B2" s="5"/>
      <c r="C2" s="5"/>
      <c r="D2" s="5"/>
      <c r="E2" s="6"/>
    </row>
    <row r="3" ht="26.9" customHeight="1" spans="1:5">
      <c r="A3" s="7" t="s">
        <v>2</v>
      </c>
      <c r="B3" s="7" t="s">
        <v>190</v>
      </c>
      <c r="C3" s="7" t="s">
        <v>191</v>
      </c>
      <c r="D3" s="7" t="s">
        <v>192</v>
      </c>
      <c r="E3" s="8" t="s">
        <v>193</v>
      </c>
    </row>
    <row r="4" ht="27" customHeight="1" spans="1:5">
      <c r="A4" s="7">
        <v>1</v>
      </c>
      <c r="B4" s="7" t="s">
        <v>194</v>
      </c>
      <c r="C4" s="8"/>
      <c r="D4" s="9">
        <v>180.23</v>
      </c>
      <c r="E4" s="8" t="s">
        <v>195</v>
      </c>
    </row>
    <row r="5" ht="27" customHeight="1" spans="1:5">
      <c r="A5" s="7">
        <v>2</v>
      </c>
      <c r="B5" s="7" t="s">
        <v>196</v>
      </c>
      <c r="C5" s="10"/>
      <c r="D5" s="9">
        <f>368.69/4*10</f>
        <v>921.725</v>
      </c>
      <c r="E5" s="8" t="s">
        <v>197</v>
      </c>
    </row>
    <row r="6" ht="27" customHeight="1" spans="1:5">
      <c r="A6" s="7">
        <v>3</v>
      </c>
      <c r="B6" s="7" t="s">
        <v>164</v>
      </c>
      <c r="C6" s="10"/>
      <c r="D6" s="9">
        <v>171.78</v>
      </c>
      <c r="E6" s="8" t="s">
        <v>197</v>
      </c>
    </row>
    <row r="7" ht="27" customHeight="1" spans="1:5">
      <c r="A7" s="7">
        <v>4</v>
      </c>
      <c r="B7" s="7" t="s">
        <v>165</v>
      </c>
      <c r="C7" s="8"/>
      <c r="D7" s="9">
        <v>396.38</v>
      </c>
      <c r="E7" s="8" t="s">
        <v>198</v>
      </c>
    </row>
    <row r="8" ht="27" customHeight="1" spans="1:5">
      <c r="A8" s="7">
        <v>5</v>
      </c>
      <c r="B8" s="7" t="s">
        <v>166</v>
      </c>
      <c r="C8" s="8" t="s">
        <v>199</v>
      </c>
      <c r="D8" s="9">
        <f>总概算表!G5*0.3%*0.7</f>
        <v>83.1970923</v>
      </c>
      <c r="E8" s="8" t="s">
        <v>200</v>
      </c>
    </row>
    <row r="9" ht="27" customHeight="1" spans="1:5">
      <c r="A9" s="7">
        <v>6</v>
      </c>
      <c r="B9" s="7" t="s">
        <v>167</v>
      </c>
      <c r="C9" s="8"/>
      <c r="D9" s="9">
        <v>21.3</v>
      </c>
      <c r="E9" s="8" t="s">
        <v>201</v>
      </c>
    </row>
    <row r="10" ht="27" customHeight="1" spans="1:5">
      <c r="A10" s="7">
        <v>7</v>
      </c>
      <c r="B10" s="7" t="s">
        <v>168</v>
      </c>
      <c r="C10" s="8"/>
      <c r="D10" s="9">
        <v>38.57</v>
      </c>
      <c r="E10" s="8" t="s">
        <v>202</v>
      </c>
    </row>
    <row r="11" ht="27" customHeight="1" spans="1:5">
      <c r="A11" s="7">
        <v>8</v>
      </c>
      <c r="B11" s="7" t="s">
        <v>169</v>
      </c>
      <c r="C11" s="8"/>
      <c r="D11" s="9">
        <v>22.52</v>
      </c>
      <c r="E11" s="8" t="s">
        <v>203</v>
      </c>
    </row>
    <row r="12" ht="27" customHeight="1" spans="1:5">
      <c r="A12" s="7">
        <v>9</v>
      </c>
      <c r="B12" s="7" t="s">
        <v>170</v>
      </c>
      <c r="C12" s="8"/>
      <c r="D12" s="9">
        <v>14.4</v>
      </c>
      <c r="E12" s="8" t="s">
        <v>204</v>
      </c>
    </row>
    <row r="13" ht="27" customHeight="1" spans="1:5">
      <c r="A13" s="7">
        <v>10</v>
      </c>
      <c r="B13" s="7" t="s">
        <v>171</v>
      </c>
      <c r="C13" s="8"/>
      <c r="D13" s="9">
        <v>4</v>
      </c>
      <c r="E13" s="8" t="s">
        <v>205</v>
      </c>
    </row>
    <row r="14" ht="27" customHeight="1" spans="1:5">
      <c r="A14" s="7">
        <v>11</v>
      </c>
      <c r="B14" s="7" t="s">
        <v>172</v>
      </c>
      <c r="C14" s="8"/>
      <c r="D14" s="9">
        <v>3.8</v>
      </c>
      <c r="E14" s="8" t="s">
        <v>206</v>
      </c>
    </row>
    <row r="15" ht="27" customHeight="1" spans="1:5">
      <c r="A15" s="7">
        <v>12</v>
      </c>
      <c r="B15" s="7" t="s">
        <v>173</v>
      </c>
      <c r="C15" s="8"/>
      <c r="D15" s="9">
        <v>406.83</v>
      </c>
      <c r="E15" s="8" t="s">
        <v>207</v>
      </c>
    </row>
    <row r="16" ht="27" customHeight="1" spans="1:5">
      <c r="A16" s="7">
        <v>13</v>
      </c>
      <c r="B16" s="7" t="s">
        <v>174</v>
      </c>
      <c r="C16" s="8" t="s">
        <v>208</v>
      </c>
      <c r="D16" s="9">
        <f>总概算表!G5*0.3%*0.5</f>
        <v>59.4264945</v>
      </c>
      <c r="E16" s="8" t="s">
        <v>209</v>
      </c>
    </row>
    <row r="17" ht="27" customHeight="1" spans="1:5">
      <c r="A17" s="7">
        <v>14</v>
      </c>
      <c r="B17" s="7" t="s">
        <v>175</v>
      </c>
      <c r="C17" s="8" t="s">
        <v>210</v>
      </c>
      <c r="D17" s="9">
        <f>总概算表!G5*0.15%</f>
        <v>59.4264945</v>
      </c>
      <c r="E17" s="8" t="s">
        <v>211</v>
      </c>
    </row>
    <row r="18" ht="27" customHeight="1" spans="1:5">
      <c r="A18" s="7">
        <v>15</v>
      </c>
      <c r="B18" s="8" t="s">
        <v>176</v>
      </c>
      <c r="C18" s="8" t="s">
        <v>212</v>
      </c>
      <c r="D18" s="9">
        <f>总概算表!E5*1%</f>
        <v>12.152844</v>
      </c>
      <c r="E18" s="8" t="s">
        <v>213</v>
      </c>
    </row>
    <row r="19" ht="27" customHeight="1" spans="1:5">
      <c r="A19" s="7">
        <v>16</v>
      </c>
      <c r="B19" s="7" t="s">
        <v>177</v>
      </c>
      <c r="C19" s="8" t="s">
        <v>214</v>
      </c>
      <c r="D19" s="9">
        <f>总概算表!G5*0.3%*0.8</f>
        <v>95.0823912</v>
      </c>
      <c r="E19" s="8" t="s">
        <v>215</v>
      </c>
    </row>
    <row r="20" ht="27" customHeight="1" spans="1:5">
      <c r="A20" s="7">
        <v>17</v>
      </c>
      <c r="B20" s="7" t="s">
        <v>178</v>
      </c>
      <c r="C20" s="7"/>
      <c r="D20" s="9">
        <f>6+(总概算表!G5-10000)*0.025/100</f>
        <v>13.40441575</v>
      </c>
      <c r="E20" s="8" t="s">
        <v>216</v>
      </c>
    </row>
    <row r="21" ht="27" customHeight="1" spans="1:5">
      <c r="A21" s="7">
        <v>18</v>
      </c>
      <c r="B21" s="7" t="s">
        <v>179</v>
      </c>
      <c r="C21" s="8"/>
      <c r="D21" s="9">
        <v>35</v>
      </c>
      <c r="E21" s="8" t="s">
        <v>216</v>
      </c>
    </row>
    <row r="22" ht="27" customHeight="1" spans="1:5">
      <c r="A22" s="7">
        <v>19</v>
      </c>
      <c r="B22" s="11" t="s">
        <v>12</v>
      </c>
      <c r="C22" s="11"/>
      <c r="D22" s="12">
        <f>SUM(D4:D21)</f>
        <v>2539.22473225</v>
      </c>
      <c r="E22" s="13"/>
    </row>
  </sheetData>
  <mergeCells count="2">
    <mergeCell ref="A1:E1"/>
    <mergeCell ref="A2:E2"/>
  </mergeCells>
  <printOptions horizontalCentered="1"/>
  <pageMargins left="0.39" right="0.39" top="0.314583333333333" bottom="0.156944444444444" header="0.236111111111111" footer="0.51"/>
  <pageSetup paperSize="9" scale="95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总概算表</vt:lpstr>
      <vt:lpstr>其他费用计算表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刹华</cp:lastModifiedBy>
  <dcterms:created xsi:type="dcterms:W3CDTF">2022-02-20T08:35:00Z</dcterms:created>
  <dcterms:modified xsi:type="dcterms:W3CDTF">2022-03-31T01:34:24Z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35123991B83A48F7932F932FB17793F3</vt:lpwstr>
  </property>
  <property fmtid="{D5CDD505-2E9C-101B-9397-08002B2CF9AE}" pid="3" name="KSOProductBuildVer">
    <vt:lpwstr>2052-11.1.0.11365</vt:lpwstr>
  </property>
</Properties>
</file>